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firstSheet="1" activeTab="9"/>
  </bookViews>
  <sheets>
    <sheet name="2019-4week rna გარეშე" sheetId="13" r:id="rId1"/>
    <sheet name="ბიუჯეტი-2019" sheetId="11" r:id="rId2"/>
    <sheet name="4კვირის რნა გარეშე(0 თანაგადახ)" sheetId="14" r:id="rId3"/>
    <sheet name="4კვირის რნა გარეშე (თანაგადახდ)" sheetId="12" r:id="rId4"/>
    <sheet name="დიაგნოსტიკა თანაგადახდის გარეშე" sheetId="9" r:id="rId5"/>
    <sheet name="დიაგნოსტიკა თანაგადახდით" sheetId="1" r:id="rId6"/>
    <sheet name="მკურნალობაში ჩართვა-სტანდარტული" sheetId="6" r:id="rId7"/>
    <sheet name="მონიტორინგი-სტანდარტული" sheetId="2" r:id="rId8"/>
    <sheet name="მკურნალობაში ჩართვა-პჯდ" sheetId="8" r:id="rId9"/>
    <sheet name="მონიტორინგი-პჯდ" sheetId="3" r:id="rId10"/>
  </sheets>
  <externalReferences>
    <externalReference r:id="rId1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1" l="1"/>
  <c r="K49" i="1"/>
  <c r="K47" i="1"/>
  <c r="J49" i="1"/>
  <c r="J48" i="1"/>
  <c r="J47" i="1"/>
  <c r="H49" i="1"/>
  <c r="G49" i="1"/>
  <c r="H48" i="1"/>
  <c r="G48" i="1"/>
  <c r="H47" i="1"/>
  <c r="G47" i="1"/>
  <c r="G35" i="1"/>
  <c r="G76" i="12" l="1"/>
  <c r="N43" i="14"/>
  <c r="N41" i="14"/>
  <c r="N38" i="14"/>
  <c r="N35" i="14"/>
  <c r="M36" i="14"/>
  <c r="M38" i="14"/>
  <c r="M39" i="14"/>
  <c r="M41" i="14"/>
  <c r="M43" i="14"/>
  <c r="M35" i="14"/>
  <c r="D21" i="13" l="1"/>
  <c r="E73" i="14"/>
  <c r="C69" i="14"/>
  <c r="C55" i="14"/>
  <c r="C54" i="14"/>
  <c r="C53" i="14"/>
  <c r="E52" i="14"/>
  <c r="E53" i="14" s="1"/>
  <c r="D52" i="14"/>
  <c r="D55" i="14" s="1"/>
  <c r="K33" i="14"/>
  <c r="J33" i="14"/>
  <c r="D33" i="14"/>
  <c r="D31" i="14"/>
  <c r="D30" i="14"/>
  <c r="E30" i="14" s="1"/>
  <c r="D28" i="14"/>
  <c r="D27" i="14"/>
  <c r="E27" i="14" s="1"/>
  <c r="D25" i="14"/>
  <c r="D24" i="14"/>
  <c r="E24" i="14" s="1"/>
  <c r="D22" i="14"/>
  <c r="D21" i="14"/>
  <c r="D20" i="14"/>
  <c r="E20" i="14" s="1"/>
  <c r="D17" i="14"/>
  <c r="D16" i="14"/>
  <c r="D15" i="14"/>
  <c r="E15" i="14" s="1"/>
  <c r="D12" i="14"/>
  <c r="D11" i="14"/>
  <c r="D10" i="14"/>
  <c r="E10" i="14" s="1"/>
  <c r="D7" i="14"/>
  <c r="D6" i="14"/>
  <c r="D5" i="14"/>
  <c r="E5" i="14" s="1"/>
  <c r="D10" i="13"/>
  <c r="C53" i="12"/>
  <c r="D35" i="12"/>
  <c r="J30" i="12"/>
  <c r="J27" i="12"/>
  <c r="J24" i="12"/>
  <c r="D28" i="12"/>
  <c r="D27" i="12"/>
  <c r="D25" i="12"/>
  <c r="D24" i="12"/>
  <c r="I9" i="2"/>
  <c r="E73" i="12"/>
  <c r="C69" i="12"/>
  <c r="C55" i="12"/>
  <c r="C54" i="12"/>
  <c r="E52" i="12"/>
  <c r="E54" i="12" s="1"/>
  <c r="D52" i="12"/>
  <c r="D53" i="12" s="1"/>
  <c r="D64" i="12" s="1"/>
  <c r="K33" i="12"/>
  <c r="J33" i="12"/>
  <c r="D33" i="12"/>
  <c r="D31" i="12"/>
  <c r="H30" i="12"/>
  <c r="E30" i="12"/>
  <c r="D30" i="12"/>
  <c r="E27" i="12"/>
  <c r="D22" i="12"/>
  <c r="D21" i="12"/>
  <c r="E20" i="12"/>
  <c r="D43" i="12" s="1"/>
  <c r="E43" i="12" s="1"/>
  <c r="D20" i="12"/>
  <c r="D17" i="12"/>
  <c r="D16" i="12"/>
  <c r="E15" i="12"/>
  <c r="J15" i="12" s="1"/>
  <c r="D15" i="12"/>
  <c r="D12" i="12"/>
  <c r="D11" i="12"/>
  <c r="E10" i="12"/>
  <c r="J10" i="12" s="1"/>
  <c r="D10" i="12"/>
  <c r="D7" i="12"/>
  <c r="D6" i="12"/>
  <c r="E5" i="12"/>
  <c r="D5" i="12"/>
  <c r="E55" i="14" l="1"/>
  <c r="D54" i="14"/>
  <c r="E54" i="14"/>
  <c r="D53" i="14"/>
  <c r="J27" i="14"/>
  <c r="H27" i="14"/>
  <c r="K27" i="14"/>
  <c r="D36" i="14"/>
  <c r="H10" i="14"/>
  <c r="K10" i="14"/>
  <c r="D39" i="14"/>
  <c r="G10" i="14"/>
  <c r="J10" i="14"/>
  <c r="J30" i="14"/>
  <c r="H30" i="14"/>
  <c r="K30" i="14"/>
  <c r="D41" i="14"/>
  <c r="E41" i="14" s="1"/>
  <c r="H15" i="14"/>
  <c r="J15" i="14"/>
  <c r="G15" i="14"/>
  <c r="K15" i="14"/>
  <c r="K5" i="14"/>
  <c r="H5" i="14"/>
  <c r="D35" i="14"/>
  <c r="E35" i="14" s="1"/>
  <c r="D38" i="14"/>
  <c r="E38" i="14" s="1"/>
  <c r="G5" i="14"/>
  <c r="J5" i="14"/>
  <c r="J24" i="14"/>
  <c r="H24" i="14"/>
  <c r="K24" i="14"/>
  <c r="K20" i="14"/>
  <c r="H20" i="14"/>
  <c r="D43" i="14"/>
  <c r="E43" i="14" s="1"/>
  <c r="G20" i="14"/>
  <c r="J20" i="14"/>
  <c r="E53" i="12"/>
  <c r="J43" i="12"/>
  <c r="H43" i="12"/>
  <c r="G43" i="12"/>
  <c r="K43" i="12"/>
  <c r="K27" i="12"/>
  <c r="H27" i="12"/>
  <c r="G5" i="12"/>
  <c r="G10" i="12"/>
  <c r="G15" i="12"/>
  <c r="G20" i="12"/>
  <c r="D41" i="12"/>
  <c r="E41" i="12" s="1"/>
  <c r="D55" i="12"/>
  <c r="K5" i="12"/>
  <c r="K20" i="12"/>
  <c r="D39" i="12"/>
  <c r="H15" i="12"/>
  <c r="H20" i="12"/>
  <c r="K30" i="12"/>
  <c r="D38" i="12"/>
  <c r="D54" i="12"/>
  <c r="E55" i="12"/>
  <c r="K10" i="12"/>
  <c r="K15" i="12"/>
  <c r="H5" i="12"/>
  <c r="H10" i="12"/>
  <c r="J5" i="12"/>
  <c r="J20" i="12"/>
  <c r="D28" i="11"/>
  <c r="D19" i="11"/>
  <c r="D10" i="11"/>
  <c r="K49" i="9"/>
  <c r="J49" i="9"/>
  <c r="K48" i="9"/>
  <c r="J48" i="9"/>
  <c r="G49" i="9"/>
  <c r="E73" i="9"/>
  <c r="C69" i="9"/>
  <c r="C55" i="9"/>
  <c r="C54" i="9"/>
  <c r="E53" i="9"/>
  <c r="C53" i="9"/>
  <c r="E52" i="9"/>
  <c r="E54" i="9" s="1"/>
  <c r="D52" i="9"/>
  <c r="D53" i="9" s="1"/>
  <c r="K33" i="9"/>
  <c r="J33" i="9"/>
  <c r="D33" i="9"/>
  <c r="D31" i="9"/>
  <c r="D30" i="9"/>
  <c r="E30" i="9" s="1"/>
  <c r="D28" i="9"/>
  <c r="E27" i="9" s="1"/>
  <c r="D27" i="9"/>
  <c r="D25" i="9"/>
  <c r="D22" i="9"/>
  <c r="D21" i="9"/>
  <c r="E20" i="9"/>
  <c r="D43" i="9" s="1"/>
  <c r="E43" i="9" s="1"/>
  <c r="D20" i="9"/>
  <c r="D17" i="9"/>
  <c r="D16" i="9"/>
  <c r="E15" i="9"/>
  <c r="J15" i="9" s="1"/>
  <c r="D15" i="9"/>
  <c r="D12" i="9"/>
  <c r="D11" i="9"/>
  <c r="E10" i="9"/>
  <c r="J10" i="9" s="1"/>
  <c r="D10" i="9"/>
  <c r="D7" i="9"/>
  <c r="D6" i="9"/>
  <c r="E5" i="9"/>
  <c r="D5" i="9"/>
  <c r="C69" i="1"/>
  <c r="E52" i="1"/>
  <c r="E55" i="1" s="1"/>
  <c r="D52" i="1"/>
  <c r="D54" i="1" s="1"/>
  <c r="D31" i="1"/>
  <c r="D30" i="1"/>
  <c r="D28" i="1"/>
  <c r="D27" i="1"/>
  <c r="D25" i="1"/>
  <c r="D22" i="1"/>
  <c r="D21" i="1"/>
  <c r="D20" i="1"/>
  <c r="D17" i="1"/>
  <c r="D16" i="1"/>
  <c r="D15" i="1"/>
  <c r="D12" i="1"/>
  <c r="D11" i="1"/>
  <c r="D10" i="1"/>
  <c r="D7" i="1"/>
  <c r="D6" i="1"/>
  <c r="D5" i="1"/>
  <c r="K15" i="8"/>
  <c r="K7" i="8"/>
  <c r="I15" i="8"/>
  <c r="I14" i="8"/>
  <c r="I6" i="8"/>
  <c r="I13" i="8"/>
  <c r="I12" i="8"/>
  <c r="I5" i="8"/>
  <c r="I4" i="8"/>
  <c r="J15" i="3"/>
  <c r="J12" i="3"/>
  <c r="J16" i="3" s="1"/>
  <c r="I4" i="3"/>
  <c r="L48" i="2"/>
  <c r="L42" i="2"/>
  <c r="L49" i="2" s="1"/>
  <c r="K49" i="2"/>
  <c r="J22" i="2"/>
  <c r="I5" i="2"/>
  <c r="I4" i="2"/>
  <c r="I15" i="6"/>
  <c r="I7" i="6"/>
  <c r="I14" i="6"/>
  <c r="I13" i="6"/>
  <c r="I12" i="6"/>
  <c r="I6" i="6"/>
  <c r="I5" i="6"/>
  <c r="I4" i="6"/>
  <c r="I14" i="3"/>
  <c r="I13" i="3"/>
  <c r="I12" i="3"/>
  <c r="J6" i="3"/>
  <c r="I5" i="3"/>
  <c r="J3" i="3"/>
  <c r="I3" i="3"/>
  <c r="K48" i="2"/>
  <c r="K47" i="2"/>
  <c r="K46" i="2"/>
  <c r="K45" i="2"/>
  <c r="K44" i="2"/>
  <c r="K43" i="2"/>
  <c r="K42" i="2"/>
  <c r="L35" i="2"/>
  <c r="K35" i="2"/>
  <c r="K34" i="2"/>
  <c r="K33" i="2"/>
  <c r="K32" i="2"/>
  <c r="K31" i="2"/>
  <c r="K30" i="2"/>
  <c r="L29" i="2"/>
  <c r="K29" i="2"/>
  <c r="I21" i="2"/>
  <c r="I19" i="2"/>
  <c r="I18" i="2"/>
  <c r="I17" i="2"/>
  <c r="I16" i="2"/>
  <c r="I15" i="2"/>
  <c r="J9" i="2"/>
  <c r="I8" i="2"/>
  <c r="I7" i="2"/>
  <c r="I6" i="2"/>
  <c r="J3" i="2"/>
  <c r="I3" i="2"/>
  <c r="E53" i="1" l="1"/>
  <c r="E49" i="14"/>
  <c r="K41" i="14"/>
  <c r="J41" i="14"/>
  <c r="H41" i="14"/>
  <c r="G41" i="14"/>
  <c r="H43" i="14"/>
  <c r="G43" i="14"/>
  <c r="K43" i="14"/>
  <c r="J43" i="14"/>
  <c r="E48" i="14"/>
  <c r="H38" i="14"/>
  <c r="K38" i="14"/>
  <c r="G38" i="14"/>
  <c r="J38" i="14"/>
  <c r="E47" i="14"/>
  <c r="G35" i="14"/>
  <c r="J35" i="14"/>
  <c r="H35" i="14"/>
  <c r="K35" i="14"/>
  <c r="E49" i="12"/>
  <c r="G41" i="12"/>
  <c r="H41" i="12"/>
  <c r="K41" i="12"/>
  <c r="J41" i="12"/>
  <c r="E38" i="12"/>
  <c r="K27" i="9"/>
  <c r="J27" i="9"/>
  <c r="H27" i="9"/>
  <c r="G27" i="9"/>
  <c r="J43" i="9"/>
  <c r="H43" i="9"/>
  <c r="G43" i="9"/>
  <c r="K43" i="9"/>
  <c r="G30" i="9"/>
  <c r="K30" i="9"/>
  <c r="J30" i="9"/>
  <c r="H30" i="9"/>
  <c r="K5" i="9"/>
  <c r="K10" i="9"/>
  <c r="K15" i="9"/>
  <c r="K20" i="9"/>
  <c r="D39" i="9"/>
  <c r="G5" i="9"/>
  <c r="G10" i="9"/>
  <c r="G15" i="9"/>
  <c r="G20" i="9"/>
  <c r="D41" i="9"/>
  <c r="E41" i="9" s="1"/>
  <c r="D55" i="9"/>
  <c r="H5" i="9"/>
  <c r="H10" i="9"/>
  <c r="H15" i="9"/>
  <c r="H20" i="9"/>
  <c r="D38" i="9"/>
  <c r="E38" i="9" s="1"/>
  <c r="D54" i="9"/>
  <c r="E55" i="9"/>
  <c r="J5" i="9"/>
  <c r="J20" i="9"/>
  <c r="D53" i="1"/>
  <c r="D55" i="1"/>
  <c r="E54" i="1"/>
  <c r="E30" i="1"/>
  <c r="H30" i="1" s="1"/>
  <c r="E20" i="1"/>
  <c r="E15" i="1"/>
  <c r="D41" i="1" s="1"/>
  <c r="I7" i="8"/>
  <c r="I16" i="3"/>
  <c r="I7" i="3"/>
  <c r="J7" i="3"/>
  <c r="K36" i="2"/>
  <c r="I10" i="2"/>
  <c r="J10" i="2"/>
  <c r="L36" i="2"/>
  <c r="I22" i="2"/>
  <c r="G47" i="14" l="1"/>
  <c r="D58" i="14" s="1"/>
  <c r="H47" i="14"/>
  <c r="E58" i="14" s="1"/>
  <c r="J47" i="14"/>
  <c r="D64" i="14" s="1"/>
  <c r="H48" i="14"/>
  <c r="E59" i="14" s="1"/>
  <c r="G48" i="14"/>
  <c r="D59" i="14" s="1"/>
  <c r="H49" i="14"/>
  <c r="G49" i="14"/>
  <c r="E24" i="12"/>
  <c r="D24" i="1"/>
  <c r="E24" i="1" s="1"/>
  <c r="D24" i="9"/>
  <c r="E24" i="9" s="1"/>
  <c r="H49" i="12"/>
  <c r="G49" i="12"/>
  <c r="K38" i="12"/>
  <c r="G38" i="12"/>
  <c r="E48" i="12"/>
  <c r="J38" i="12"/>
  <c r="H38" i="12"/>
  <c r="E49" i="9"/>
  <c r="G41" i="9"/>
  <c r="K41" i="9"/>
  <c r="J41" i="9"/>
  <c r="H41" i="9"/>
  <c r="K38" i="9"/>
  <c r="E48" i="9"/>
  <c r="J38" i="9"/>
  <c r="H38" i="9"/>
  <c r="G38" i="9"/>
  <c r="K30" i="1"/>
  <c r="K20" i="1"/>
  <c r="D43" i="1"/>
  <c r="E43" i="1" s="1"/>
  <c r="J30" i="1"/>
  <c r="G30" i="1"/>
  <c r="E41" i="1"/>
  <c r="J20" i="1"/>
  <c r="H20" i="1"/>
  <c r="G20" i="1"/>
  <c r="K15" i="1"/>
  <c r="J15" i="1"/>
  <c r="H15" i="1"/>
  <c r="G15" i="1"/>
  <c r="E73" i="1"/>
  <c r="K33" i="1"/>
  <c r="J33" i="1"/>
  <c r="D33" i="1"/>
  <c r="E10" i="1"/>
  <c r="E5" i="1"/>
  <c r="C59" i="14" l="1"/>
  <c r="K49" i="14"/>
  <c r="E66" i="14" s="1"/>
  <c r="D60" i="14"/>
  <c r="D61" i="14" s="1"/>
  <c r="J48" i="14"/>
  <c r="D65" i="14" s="1"/>
  <c r="D67" i="14" s="1"/>
  <c r="K47" i="14"/>
  <c r="E64" i="14" s="1"/>
  <c r="J49" i="14"/>
  <c r="D66" i="14" s="1"/>
  <c r="C66" i="14" s="1"/>
  <c r="E60" i="14"/>
  <c r="E61" i="14" s="1"/>
  <c r="K48" i="14"/>
  <c r="E65" i="14" s="1"/>
  <c r="C58" i="14"/>
  <c r="J24" i="9"/>
  <c r="D35" i="9"/>
  <c r="D36" i="9"/>
  <c r="E35" i="9" s="1"/>
  <c r="K24" i="9"/>
  <c r="G24" i="9"/>
  <c r="H24" i="9"/>
  <c r="D36" i="12"/>
  <c r="H24" i="12"/>
  <c r="K24" i="12"/>
  <c r="K49" i="12"/>
  <c r="E66" i="12" s="1"/>
  <c r="D60" i="12"/>
  <c r="G48" i="12"/>
  <c r="D59" i="12" s="1"/>
  <c r="H48" i="12"/>
  <c r="E59" i="12" s="1"/>
  <c r="J49" i="12"/>
  <c r="D66" i="12" s="1"/>
  <c r="E60" i="12"/>
  <c r="G48" i="9"/>
  <c r="D59" i="9" s="1"/>
  <c r="H48" i="9"/>
  <c r="E59" i="9" s="1"/>
  <c r="H49" i="9"/>
  <c r="E49" i="1"/>
  <c r="D36" i="1"/>
  <c r="K43" i="1"/>
  <c r="G43" i="1"/>
  <c r="J43" i="1"/>
  <c r="H43" i="1"/>
  <c r="D35" i="1"/>
  <c r="J41" i="1"/>
  <c r="G41" i="1"/>
  <c r="K41" i="1"/>
  <c r="H41" i="1"/>
  <c r="J24" i="1"/>
  <c r="G24" i="1"/>
  <c r="K24" i="1"/>
  <c r="H24" i="1"/>
  <c r="K10" i="1"/>
  <c r="J10" i="1"/>
  <c r="H10" i="1"/>
  <c r="G10" i="1"/>
  <c r="H5" i="1"/>
  <c r="J5" i="1"/>
  <c r="G5" i="1"/>
  <c r="K5" i="1"/>
  <c r="E27" i="1"/>
  <c r="D39" i="1" s="1"/>
  <c r="C59" i="12" l="1"/>
  <c r="E67" i="14"/>
  <c r="C65" i="14"/>
  <c r="C64" i="14"/>
  <c r="C67" i="14" s="1"/>
  <c r="C70" i="14" s="1"/>
  <c r="C76" i="14" s="1"/>
  <c r="C60" i="14"/>
  <c r="C61" i="14" s="1"/>
  <c r="C75" i="14" s="1"/>
  <c r="K48" i="12"/>
  <c r="E65" i="12" s="1"/>
  <c r="E47" i="9"/>
  <c r="G35" i="9"/>
  <c r="J35" i="9"/>
  <c r="K35" i="9"/>
  <c r="H35" i="9"/>
  <c r="E35" i="12"/>
  <c r="C66" i="12"/>
  <c r="C60" i="12"/>
  <c r="J48" i="12"/>
  <c r="D65" i="12" s="1"/>
  <c r="D65" i="9"/>
  <c r="E66" i="9"/>
  <c r="D60" i="9"/>
  <c r="E65" i="9"/>
  <c r="D66" i="9"/>
  <c r="E60" i="9"/>
  <c r="C59" i="9"/>
  <c r="D38" i="1"/>
  <c r="J27" i="1"/>
  <c r="G27" i="1"/>
  <c r="K27" i="1"/>
  <c r="H27" i="1"/>
  <c r="E38" i="1"/>
  <c r="E48" i="1" s="1"/>
  <c r="E35" i="1"/>
  <c r="E47" i="1" s="1"/>
  <c r="H35" i="12" l="1"/>
  <c r="E47" i="12"/>
  <c r="G35" i="12"/>
  <c r="K35" i="12"/>
  <c r="J35" i="12"/>
  <c r="G47" i="9"/>
  <c r="D58" i="9" s="1"/>
  <c r="H47" i="9"/>
  <c r="E58" i="9" s="1"/>
  <c r="E61" i="9" s="1"/>
  <c r="C65" i="12"/>
  <c r="C65" i="9"/>
  <c r="C66" i="9"/>
  <c r="C60" i="9"/>
  <c r="E66" i="1"/>
  <c r="D60" i="1"/>
  <c r="D66" i="1"/>
  <c r="E60" i="1"/>
  <c r="E58" i="1"/>
  <c r="D58" i="1"/>
  <c r="E59" i="1"/>
  <c r="D59" i="1"/>
  <c r="K35" i="1"/>
  <c r="J35" i="1"/>
  <c r="H35" i="1"/>
  <c r="J38" i="1"/>
  <c r="K38" i="1"/>
  <c r="G38" i="1"/>
  <c r="H38" i="1"/>
  <c r="E64" i="1"/>
  <c r="D64" i="1"/>
  <c r="C66" i="1" l="1"/>
  <c r="C59" i="1"/>
  <c r="J47" i="9"/>
  <c r="D64" i="9" s="1"/>
  <c r="D67" i="9" s="1"/>
  <c r="K47" i="9"/>
  <c r="E64" i="9" s="1"/>
  <c r="E67" i="9" s="1"/>
  <c r="C64" i="9"/>
  <c r="C67" i="9" s="1"/>
  <c r="C70" i="9" s="1"/>
  <c r="C76" i="9" s="1"/>
  <c r="G47" i="12"/>
  <c r="D58" i="12" s="1"/>
  <c r="H47" i="12"/>
  <c r="E58" i="12" s="1"/>
  <c r="E61" i="12" s="1"/>
  <c r="C64" i="1"/>
  <c r="C58" i="9"/>
  <c r="C61" i="9" s="1"/>
  <c r="C75" i="9" s="1"/>
  <c r="D61" i="9"/>
  <c r="C58" i="1"/>
  <c r="D61" i="1"/>
  <c r="C60" i="1"/>
  <c r="E61" i="1"/>
  <c r="E65" i="1"/>
  <c r="E67" i="1" s="1"/>
  <c r="D65" i="1"/>
  <c r="C55" i="1"/>
  <c r="C54" i="1"/>
  <c r="C53" i="1"/>
  <c r="C65" i="1" l="1"/>
  <c r="C67" i="1"/>
  <c r="C70" i="1" s="1"/>
  <c r="C76" i="1" s="1"/>
  <c r="D67" i="1"/>
  <c r="J47" i="12"/>
  <c r="D67" i="12"/>
  <c r="C58" i="12"/>
  <c r="C61" i="12" s="1"/>
  <c r="D61" i="12"/>
  <c r="K47" i="12"/>
  <c r="E64" i="12" s="1"/>
  <c r="E67" i="12" s="1"/>
  <c r="C61" i="1"/>
  <c r="C75" i="1" l="1"/>
  <c r="C64" i="12"/>
  <c r="C67" i="12" s="1"/>
  <c r="C70" i="12" s="1"/>
  <c r="C76" i="12" s="1"/>
  <c r="C75" i="12" l="1"/>
</calcChain>
</file>

<file path=xl/sharedStrings.xml><?xml version="1.0" encoding="utf-8"?>
<sst xmlns="http://schemas.openxmlformats.org/spreadsheetml/2006/main" count="670" uniqueCount="120">
  <si>
    <r>
      <t>C ჰეპატიტის დიაგნოსტიკის ჯამური ღირებულება</t>
    </r>
    <r>
      <rPr>
        <b/>
        <sz val="11"/>
        <color rgb="FFFF0000"/>
        <rFont val="Calibri"/>
        <family val="2"/>
        <scheme val="minor"/>
      </rPr>
      <t xml:space="preserve"> 25 000 </t>
    </r>
    <r>
      <rPr>
        <b/>
        <sz val="11"/>
        <color theme="1"/>
        <rFont val="Calibri"/>
        <family val="2"/>
        <scheme val="minor"/>
      </rPr>
      <t>პაციენტზე გათვლით</t>
    </r>
  </si>
  <si>
    <t>პაციენტის წილი</t>
  </si>
  <si>
    <t>სახელმწიფოს წილი</t>
  </si>
  <si>
    <t>სოცდაუცველი</t>
  </si>
  <si>
    <t>სხვა</t>
  </si>
  <si>
    <t>ერთეულის ფასი (ლარი)</t>
  </si>
  <si>
    <t>დიაგნოსტიკა მკურნალობაში ჩართვამდე</t>
  </si>
  <si>
    <t>HCV RNA</t>
  </si>
  <si>
    <t>სხვა კვლევები ელასტოგრაფიით</t>
  </si>
  <si>
    <t>გენოტიპირება</t>
  </si>
  <si>
    <t>სხვა კვლევები ელასტოგრაფიის გარეშე</t>
  </si>
  <si>
    <t>მონიტორინგი 1</t>
  </si>
  <si>
    <t>12-კვირიანი მკურნალობის კურსი რიბავირინით</t>
  </si>
  <si>
    <t>12-კვირიანი მკურნალობის კურსი ურიბავირინო</t>
  </si>
  <si>
    <t>მონიტორინგი 2</t>
  </si>
  <si>
    <t>24-კვირიანი მკურნალობის კურსი რიბავირინით</t>
  </si>
  <si>
    <t>24-კვირიანი მკურნალობის კურსი ურიბავირინო</t>
  </si>
  <si>
    <t>SVR</t>
  </si>
  <si>
    <t>SVR (HCV RNA)</t>
  </si>
  <si>
    <t>სულ დიაგნოსტიკა</t>
  </si>
  <si>
    <t>ვარიანტი 1</t>
  </si>
  <si>
    <t>ჩართვა 1 + მონიტორინგი 1 + SVR</t>
  </si>
  <si>
    <t>ჩართვა 2 + მონიტორინგი 1 + SVR</t>
  </si>
  <si>
    <t>ვარიანტი 2</t>
  </si>
  <si>
    <t>ჩართვა 1 + მონიტორინგი 2 + SVR</t>
  </si>
  <si>
    <t>ჩართვა 2 + მონიტორინგი 2 + SVR</t>
  </si>
  <si>
    <t>პაციენტის წილი (ლარი)</t>
  </si>
  <si>
    <t>სახელმწიფოს წილი (ლარი)</t>
  </si>
  <si>
    <t>12 კვირიანი მკურნალობის რეჟიმი</t>
  </si>
  <si>
    <t>24 კვირიანი მკურნალობის რეჟიმი</t>
  </si>
  <si>
    <t>პაციენტთა რაოდენობა</t>
  </si>
  <si>
    <t>სულ წლიური</t>
  </si>
  <si>
    <t>პაციენტთა წლიური რაოდენობა</t>
  </si>
  <si>
    <t>ბიუჯეტი (პაციენტის წილი)</t>
  </si>
  <si>
    <t>სულ წლიური ბიუჯეტი (ლარი)</t>
  </si>
  <si>
    <t>სულ ბიუჯეტი</t>
  </si>
  <si>
    <t>ბიუჯეტი (სახელმწიფოს წილი)</t>
  </si>
  <si>
    <t>სულ დიაგნოსტიკის ბიუჯეტი</t>
  </si>
  <si>
    <t>ADMINCOST (50 ლარი 1 პაციენტზე)</t>
  </si>
  <si>
    <t>რაოდენობრივი კვლევა 30%-ით მეტ პაციენტს</t>
  </si>
  <si>
    <t xml:space="preserve">TOTAL </t>
  </si>
  <si>
    <t>მ.შ. სახელმწიფოს წილი</t>
  </si>
  <si>
    <t>მონიტორინგი 12 კვირა</t>
  </si>
  <si>
    <t>რიბავირინით</t>
  </si>
  <si>
    <t xml:space="preserve">ფასი </t>
  </si>
  <si>
    <t>4 კვირა</t>
  </si>
  <si>
    <t>8 კვირა</t>
  </si>
  <si>
    <t>12 კვირა</t>
  </si>
  <si>
    <t>SVR 12-24</t>
  </si>
  <si>
    <t>სულ</t>
  </si>
  <si>
    <t>ბიუჯეტი</t>
  </si>
  <si>
    <t>SVR 12-24 კოდი</t>
  </si>
  <si>
    <t>Physician consultation</t>
  </si>
  <si>
    <t>X</t>
  </si>
  <si>
    <t>Complete blood count</t>
  </si>
  <si>
    <t>ALT</t>
  </si>
  <si>
    <t>AST</t>
  </si>
  <si>
    <t>Bilirubin (პირდაპირი)</t>
  </si>
  <si>
    <t>Bilirubin (საერთო)</t>
  </si>
  <si>
    <t>Creatinine</t>
  </si>
  <si>
    <t>HCV RNA quantification by real-time PC</t>
  </si>
  <si>
    <t>სულ ერთი პაციენტი</t>
  </si>
  <si>
    <t>ურიბავირინო</t>
  </si>
  <si>
    <t>მონიტორინგი 24 კვირა</t>
  </si>
  <si>
    <t>რიბავირინიანი</t>
  </si>
  <si>
    <t>ფასი ერთ სულზე</t>
  </si>
  <si>
    <t>16 კვირა</t>
  </si>
  <si>
    <t>20 კვირა</t>
  </si>
  <si>
    <t>24 კვირა</t>
  </si>
  <si>
    <t>`</t>
  </si>
  <si>
    <t>FIB4</t>
  </si>
  <si>
    <t>liver elastography</t>
  </si>
  <si>
    <t>HCV genotyping</t>
  </si>
  <si>
    <t>HBsAg</t>
  </si>
  <si>
    <t>HB-core total</t>
  </si>
  <si>
    <t>G-GT</t>
  </si>
  <si>
    <t>ALP</t>
  </si>
  <si>
    <r>
      <t>Bilirubin (</t>
    </r>
    <r>
      <rPr>
        <sz val="11"/>
        <color rgb="FF000000"/>
        <rFont val="Sylfaen"/>
        <family val="1"/>
      </rPr>
      <t>პირდაპირი</t>
    </r>
    <r>
      <rPr>
        <sz val="11"/>
        <color rgb="FF000000"/>
        <rFont val="Calibri"/>
        <family val="2"/>
        <scheme val="minor"/>
      </rPr>
      <t xml:space="preserve"> )</t>
    </r>
  </si>
  <si>
    <r>
      <t>Bilirubin (</t>
    </r>
    <r>
      <rPr>
        <sz val="11"/>
        <color rgb="FF000000"/>
        <rFont val="Sylfaen"/>
        <family val="1"/>
      </rPr>
      <t>საერთო</t>
    </r>
    <r>
      <rPr>
        <sz val="11"/>
        <color rgb="FF000000"/>
        <rFont val="Calibri"/>
        <family val="2"/>
        <scheme val="minor"/>
      </rPr>
      <t>)</t>
    </r>
  </si>
  <si>
    <t>Glucose</t>
  </si>
  <si>
    <t>Albumin</t>
  </si>
  <si>
    <t>INR</t>
  </si>
  <si>
    <t>ულტრასონოგრაფია</t>
  </si>
  <si>
    <t xml:space="preserve">Physician consultation </t>
  </si>
  <si>
    <t xml:space="preserve">                 </t>
  </si>
  <si>
    <t>დასახელება</t>
  </si>
  <si>
    <t>ფასი (ლარი)</t>
  </si>
  <si>
    <t>N</t>
  </si>
  <si>
    <t>HCV RNA quantification by PCR</t>
  </si>
  <si>
    <t>HCV GENOTYPING</t>
  </si>
  <si>
    <t>OTHER TESTS (WITH ELASTOGRAFY)</t>
  </si>
  <si>
    <t>მკურნალობაში ჩართვა 1</t>
  </si>
  <si>
    <t>ფასი</t>
  </si>
  <si>
    <t>მკურნალობაში ჩართვა 2</t>
  </si>
  <si>
    <t>TOTAL</t>
  </si>
  <si>
    <t xml:space="preserve">HCV RNA </t>
  </si>
  <si>
    <t>Anti-HBc total</t>
  </si>
  <si>
    <t>ჩართვა 1-სტანდარტული</t>
  </si>
  <si>
    <t>ჩართვა 2-სტანდარტული</t>
  </si>
  <si>
    <t>ჩართვა 3-პჯდ</t>
  </si>
  <si>
    <t>ჩართვა 4-პჯდ</t>
  </si>
  <si>
    <t>მონიტორინგი 3-პჯდ</t>
  </si>
  <si>
    <t>ვარიანტი 3-პჯდ</t>
  </si>
  <si>
    <t>ვარიანტი 4-პჯდ</t>
  </si>
  <si>
    <t>ჩართვა 3 + მონიტორინგი 3 + SVR</t>
  </si>
  <si>
    <t>ჩართვა 4 + მონიტორინგი 3 + SVR</t>
  </si>
  <si>
    <t>პჯდ-მკურნალობის რეჟიმი</t>
  </si>
  <si>
    <t>№</t>
  </si>
  <si>
    <t>კომპონენტის დასახელება</t>
  </si>
  <si>
    <t>(ათასი ლარი)</t>
  </si>
  <si>
    <t>სკრინინგული კვლევის კომპონენტი </t>
  </si>
  <si>
    <t>დიაგნოსტიკის კომპონენტი</t>
  </si>
  <si>
    <t>მკურნალობის კომპონენტი</t>
  </si>
  <si>
    <t>ლოჯისტიკის კომპონენტი</t>
  </si>
  <si>
    <t>სულ:</t>
  </si>
  <si>
    <t>25000 პაციენტი თანაგადახდის გარეშე</t>
  </si>
  <si>
    <t>25000 პაციენტი თანაგადახდით</t>
  </si>
  <si>
    <t>12000 პაციენტი თანაგადახდით</t>
  </si>
  <si>
    <t>25000 პაციენტი (მ.შ. სოცდაუცველი თანაგადახდის გარეშე)</t>
  </si>
  <si>
    <t>25000 პაციენტი (თანაგადახდის/4week rna გარეშე)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</si>
</sst>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\ _L_a_r_i_-;\-* #,##0.0\ _L_a_r_i_-;_-* &quot;-&quot;??\ _L_a_r_i_-;_-@_-"/>
    <numFmt numFmtId="166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63634"/>
      <name val="Calibri"/>
      <family val="2"/>
      <scheme val="minor"/>
    </font>
    <font>
      <sz val="11"/>
      <color rgb="FF000000"/>
      <name val="Sylfaen"/>
      <family val="1"/>
    </font>
    <font>
      <b/>
      <sz val="11"/>
      <color rgb="FF000000"/>
      <name val="Calibri"/>
      <family val="2"/>
      <scheme val="minor"/>
    </font>
    <font>
      <sz val="12"/>
      <color theme="1"/>
      <name val="Sylfaen"/>
      <family val="1"/>
    </font>
    <font>
      <b/>
      <sz val="10"/>
      <color rgb="FF333333"/>
      <name val="Sylfaen"/>
      <family val="1"/>
    </font>
    <font>
      <sz val="10"/>
      <color rgb="FF333333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0" borderId="3" xfId="0" applyBorder="1"/>
    <xf numFmtId="0" fontId="0" fillId="0" borderId="3" xfId="0" applyFill="1" applyBorder="1"/>
    <xf numFmtId="0" fontId="2" fillId="0" borderId="4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Border="1" applyAlignment="1">
      <alignment horizontal="center" vertical="center" textRotation="90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164" fontId="0" fillId="0" borderId="0" xfId="0" applyNumberFormat="1"/>
    <xf numFmtId="43" fontId="0" fillId="0" borderId="0" xfId="0" applyNumberFormat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wrapText="1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0" xfId="1" applyFont="1"/>
    <xf numFmtId="0" fontId="5" fillId="0" borderId="4" xfId="0" applyFont="1" applyFill="1" applyBorder="1" applyAlignment="1">
      <alignment wrapText="1"/>
    </xf>
    <xf numFmtId="43" fontId="2" fillId="0" borderId="1" xfId="0" applyNumberFormat="1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0" fontId="6" fillId="0" borderId="0" xfId="0" applyFont="1"/>
    <xf numFmtId="43" fontId="7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165" fontId="9" fillId="0" borderId="0" xfId="1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2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0" fillId="0" borderId="3" xfId="2" applyFont="1" applyBorder="1" applyAlignment="1">
      <alignment horizontal="center" vertical="center" wrapText="1"/>
    </xf>
    <xf numFmtId="0" fontId="1" fillId="0" borderId="0" xfId="2"/>
    <xf numFmtId="0" fontId="1" fillId="4" borderId="1" xfId="2" applyFill="1" applyBorder="1" applyAlignment="1">
      <alignment horizontal="center" vertical="center"/>
    </xf>
    <xf numFmtId="0" fontId="1" fillId="4" borderId="1" xfId="2" applyFill="1" applyBorder="1"/>
    <xf numFmtId="0" fontId="10" fillId="4" borderId="1" xfId="2" applyFont="1" applyFill="1" applyBorder="1" applyAlignment="1">
      <alignment wrapText="1"/>
    </xf>
    <xf numFmtId="0" fontId="10" fillId="4" borderId="4" xfId="2" applyFont="1" applyFill="1" applyBorder="1" applyAlignment="1">
      <alignment horizontal="center" vertical="center" wrapText="1"/>
    </xf>
    <xf numFmtId="0" fontId="1" fillId="0" borderId="1" xfId="2" applyBorder="1" applyAlignment="1">
      <alignment wrapText="1"/>
    </xf>
    <xf numFmtId="0" fontId="1" fillId="5" borderId="1" xfId="2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166" fontId="1" fillId="0" borderId="1" xfId="2" applyNumberFormat="1" applyBorder="1"/>
    <xf numFmtId="0" fontId="1" fillId="0" borderId="1" xfId="2" applyBorder="1"/>
    <xf numFmtId="0" fontId="1" fillId="0" borderId="1" xfId="2" applyBorder="1" applyAlignment="1">
      <alignment horizontal="left"/>
    </xf>
    <xf numFmtId="166" fontId="1" fillId="0" borderId="1" xfId="1" applyNumberFormat="1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1" fillId="0" borderId="1" xfId="2" applyFont="1" applyBorder="1"/>
    <xf numFmtId="166" fontId="11" fillId="0" borderId="1" xfId="1" applyNumberFormat="1" applyFont="1" applyBorder="1" applyAlignment="1">
      <alignment horizontal="center" vertical="center"/>
    </xf>
    <xf numFmtId="166" fontId="11" fillId="0" borderId="1" xfId="1" applyNumberFormat="1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0" fillId="0" borderId="0" xfId="2" applyFont="1"/>
    <xf numFmtId="0" fontId="1" fillId="0" borderId="0" xfId="2" applyFill="1" applyBorder="1"/>
    <xf numFmtId="0" fontId="1" fillId="0" borderId="0" xfId="2" applyFill="1" applyBorder="1" applyAlignment="1"/>
    <xf numFmtId="166" fontId="11" fillId="0" borderId="1" xfId="1" applyNumberFormat="1" applyFont="1" applyBorder="1"/>
    <xf numFmtId="0" fontId="11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wrapText="1"/>
    </xf>
    <xf numFmtId="0" fontId="0" fillId="0" borderId="0" xfId="2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6" borderId="1" xfId="0" applyFont="1" applyFill="1" applyBorder="1" applyAlignment="1">
      <alignment horizontal="right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right" vertical="center"/>
    </xf>
    <xf numFmtId="0" fontId="12" fillId="0" borderId="8" xfId="0" applyFont="1" applyBorder="1" applyAlignment="1">
      <alignment vertical="center"/>
    </xf>
    <xf numFmtId="0" fontId="13" fillId="7" borderId="8" xfId="0" applyFont="1" applyFill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6" borderId="8" xfId="0" applyFont="1" applyFill="1" applyBorder="1" applyAlignment="1">
      <alignment horizontal="right" vertical="center"/>
    </xf>
    <xf numFmtId="0" fontId="15" fillId="8" borderId="8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1" xfId="0" applyFont="1" applyFill="1" applyBorder="1"/>
    <xf numFmtId="0" fontId="3" fillId="0" borderId="1" xfId="0" applyFont="1" applyBorder="1"/>
    <xf numFmtId="0" fontId="16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7" fillId="9" borderId="10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justify" vertical="center" wrapText="1"/>
    </xf>
    <xf numFmtId="0" fontId="18" fillId="9" borderId="8" xfId="0" applyFont="1" applyFill="1" applyBorder="1" applyAlignment="1">
      <alignment horizontal="justify" vertical="center" wrapText="1"/>
    </xf>
    <xf numFmtId="4" fontId="18" fillId="9" borderId="8" xfId="0" applyNumberFormat="1" applyFont="1" applyFill="1" applyBorder="1" applyAlignment="1">
      <alignment horizontal="justify" vertical="center" wrapText="1"/>
    </xf>
    <xf numFmtId="0" fontId="17" fillId="9" borderId="8" xfId="0" applyFont="1" applyFill="1" applyBorder="1" applyAlignment="1">
      <alignment horizontal="justify" vertical="center" wrapText="1"/>
    </xf>
    <xf numFmtId="4" fontId="17" fillId="9" borderId="8" xfId="0" applyNumberFormat="1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0" xfId="2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Pics\edocs\C\C%20&#4305;&#4312;&#4323;&#4335;&#4308;&#4322;&#4312;\C-&#4305;&#4312;&#4323;&#4335;&#4308;&#4322;&#43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9"/>
      <sheetName val="ვარიანტი 3-2"/>
      <sheetName val="ვარიანტი 3-1"/>
      <sheetName val="ვარიანტი 2-2 ბიუჯეტის განმარ)"/>
      <sheetName val="ვარიანტი 2-1 ბიუჯეტის განმარ)"/>
      <sheetName val="ვარ 1-დაუც+ვეტერ-70%"/>
      <sheetName val="დაუც+ვეტერ-100%"/>
      <sheetName val="გენოტიპის გარეშე-2018"/>
      <sheetName val="ბიუჯეტი-18"/>
      <sheetName val="ჯამური ბიუჯეტი"/>
      <sheetName val="სამეგრელო-ზემო სვანეთი"/>
      <sheetName val="სამეგრელო (2)"/>
      <sheetName val="სამეგრელო (3)"/>
      <sheetName val="სამეგრელო (4)"/>
      <sheetName val="მონიტორინგის კვლევები"/>
      <sheetName val="მონიტორინგი-CORE"/>
      <sheetName val="მონიტორინგის კვლევების ჯგუფები"/>
      <sheetName val="მონიტორინგის კვლევების ჯგუფებიC"/>
      <sheetName val="მკურნალობაში ჩართვის კვლევები"/>
      <sheetName val="მკურნალობაში ჩართვის ჯგუფები"/>
      <sheetName val="10%-30%"/>
      <sheetName val="5%-20%"/>
      <sheetName val="Sheet7"/>
      <sheetName val="0%-10%"/>
      <sheetName val="0%-0%"/>
      <sheetName val="რნა 0-50 ლარი"/>
      <sheetName val="რნა 50-100 ლარი"/>
      <sheetName val="რნა-სრული დაფინანსება 30 70"/>
      <sheetName val="რნმ-სრული 5-20"/>
      <sheetName val="core antigenit 50-100"/>
      <sheetName val="core-antigenit 0-50"/>
      <sheetName val="core-antigenit 0-0"/>
      <sheetName val="CORE-30%-70%"/>
      <sheetName val="CORE 5-20%"/>
      <sheetName val="CORE-50-100-2017"/>
      <sheetName val="CORE 0-50-2017"/>
      <sheetName val="CORE 0-0-2017"/>
      <sheetName val="RNA-30-70-2017"/>
      <sheetName val="RNA SRULI DAFINANSEBA-2017"/>
      <sheetName val="core sruli-2018-30-70%"/>
      <sheetName val="CORE SRULI-2018-5-20%"/>
      <sheetName val="CORE-SRULI-30-70"/>
      <sheetName val="CORE SRULI DAFINANSEBA"/>
      <sheetName val="Sheet3"/>
      <sheetName val="Sheet1"/>
      <sheetName val="Sheet2"/>
      <sheetName val="Sheet4"/>
      <sheetName val="შედარება"/>
      <sheetName val="CORE-PRE-POST KVLEVEBI"/>
      <sheetName val="Sheet6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2">
          <cell r="J12">
            <v>236</v>
          </cell>
        </row>
      </sheetData>
      <sheetData sheetId="15">
        <row r="12">
          <cell r="J12">
            <v>186</v>
          </cell>
        </row>
      </sheetData>
      <sheetData sheetId="16">
        <row r="6">
          <cell r="E6">
            <v>227</v>
          </cell>
        </row>
        <row r="11">
          <cell r="E11">
            <v>130</v>
          </cell>
        </row>
      </sheetData>
      <sheetData sheetId="17"/>
      <sheetData sheetId="18">
        <row r="4">
          <cell r="E4">
            <v>20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1"/>
  <sheetViews>
    <sheetView topLeftCell="A11" workbookViewId="0">
      <selection activeCell="I15" sqref="I15"/>
    </sheetView>
  </sheetViews>
  <sheetFormatPr defaultRowHeight="15" x14ac:dyDescent="0.25"/>
  <cols>
    <col min="3" max="3" width="44.140625" customWidth="1"/>
    <col min="4" max="4" width="14.5703125" bestFit="1" customWidth="1"/>
    <col min="7" max="7" width="27.28515625" customWidth="1"/>
  </cols>
  <sheetData>
    <row r="3" spans="2:7" ht="15.75" thickBot="1" x14ac:dyDescent="0.3"/>
    <row r="4" spans="2:7" x14ac:dyDescent="0.25">
      <c r="B4" s="105" t="s">
        <v>107</v>
      </c>
      <c r="C4" s="105" t="s">
        <v>108</v>
      </c>
      <c r="D4" s="97" t="s">
        <v>50</v>
      </c>
      <c r="E4" s="107" t="s">
        <v>118</v>
      </c>
      <c r="F4" s="108"/>
      <c r="G4" s="108"/>
    </row>
    <row r="5" spans="2:7" ht="15.75" thickBot="1" x14ac:dyDescent="0.3">
      <c r="B5" s="106"/>
      <c r="C5" s="106"/>
      <c r="D5" s="98" t="s">
        <v>109</v>
      </c>
      <c r="E5" s="107"/>
      <c r="F5" s="108"/>
      <c r="G5" s="108"/>
    </row>
    <row r="6" spans="2:7" ht="15.75" thickBot="1" x14ac:dyDescent="0.3">
      <c r="B6" s="99">
        <v>1</v>
      </c>
      <c r="C6" s="100" t="s">
        <v>110</v>
      </c>
      <c r="D6" s="101">
        <v>1100</v>
      </c>
    </row>
    <row r="7" spans="2:7" ht="15.75" thickBot="1" x14ac:dyDescent="0.3">
      <c r="B7" s="99">
        <v>2</v>
      </c>
      <c r="C7" s="100" t="s">
        <v>111</v>
      </c>
      <c r="D7" s="101">
        <v>6600</v>
      </c>
    </row>
    <row r="8" spans="2:7" ht="15.75" thickBot="1" x14ac:dyDescent="0.3">
      <c r="B8" s="99">
        <v>3</v>
      </c>
      <c r="C8" s="100" t="s">
        <v>112</v>
      </c>
      <c r="D8" s="100">
        <v>800</v>
      </c>
    </row>
    <row r="9" spans="2:7" ht="15.75" thickBot="1" x14ac:dyDescent="0.3">
      <c r="B9" s="99">
        <v>4</v>
      </c>
      <c r="C9" s="100" t="s">
        <v>113</v>
      </c>
      <c r="D9" s="101">
        <v>1200</v>
      </c>
    </row>
    <row r="10" spans="2:7" ht="15.75" thickBot="1" x14ac:dyDescent="0.3">
      <c r="B10" s="99"/>
      <c r="C10" s="102" t="s">
        <v>114</v>
      </c>
      <c r="D10" s="103">
        <f>D6+D7+D8+D9</f>
        <v>9700</v>
      </c>
    </row>
    <row r="14" spans="2:7" ht="13.5" customHeight="1" thickBot="1" x14ac:dyDescent="0.3"/>
    <row r="15" spans="2:7" x14ac:dyDescent="0.25">
      <c r="B15" s="105" t="s">
        <v>107</v>
      </c>
      <c r="C15" s="105" t="s">
        <v>108</v>
      </c>
      <c r="D15" s="97" t="s">
        <v>50</v>
      </c>
      <c r="E15" s="107" t="s">
        <v>119</v>
      </c>
      <c r="F15" s="108"/>
      <c r="G15" s="108"/>
    </row>
    <row r="16" spans="2:7" ht="15.75" thickBot="1" x14ac:dyDescent="0.3">
      <c r="B16" s="106"/>
      <c r="C16" s="106"/>
      <c r="D16" s="98" t="s">
        <v>109</v>
      </c>
      <c r="E16" s="107"/>
      <c r="F16" s="108"/>
      <c r="G16" s="108"/>
    </row>
    <row r="17" spans="2:4" ht="15.75" thickBot="1" x14ac:dyDescent="0.3">
      <c r="B17" s="99">
        <v>1</v>
      </c>
      <c r="C17" s="100" t="s">
        <v>110</v>
      </c>
      <c r="D17" s="101">
        <v>1100</v>
      </c>
    </row>
    <row r="18" spans="2:4" ht="15.75" thickBot="1" x14ac:dyDescent="0.3">
      <c r="B18" s="99">
        <v>2</v>
      </c>
      <c r="C18" s="100" t="s">
        <v>111</v>
      </c>
      <c r="D18" s="101">
        <v>13400</v>
      </c>
    </row>
    <row r="19" spans="2:4" ht="15.75" thickBot="1" x14ac:dyDescent="0.3">
      <c r="B19" s="99">
        <v>3</v>
      </c>
      <c r="C19" s="100" t="s">
        <v>112</v>
      </c>
      <c r="D19" s="100">
        <v>800</v>
      </c>
    </row>
    <row r="20" spans="2:4" ht="15.75" thickBot="1" x14ac:dyDescent="0.3">
      <c r="B20" s="99">
        <v>4</v>
      </c>
      <c r="C20" s="100" t="s">
        <v>113</v>
      </c>
      <c r="D20" s="101">
        <v>1200</v>
      </c>
    </row>
    <row r="21" spans="2:4" ht="15.75" thickBot="1" x14ac:dyDescent="0.3">
      <c r="B21" s="99"/>
      <c r="C21" s="102" t="s">
        <v>114</v>
      </c>
      <c r="D21" s="103">
        <f>D17+D18+D19+D20</f>
        <v>16500</v>
      </c>
    </row>
  </sheetData>
  <mergeCells count="6">
    <mergeCell ref="B15:B16"/>
    <mergeCell ref="C15:C16"/>
    <mergeCell ref="E15:G16"/>
    <mergeCell ref="B4:B5"/>
    <mergeCell ref="C4:C5"/>
    <mergeCell ref="E4:G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L10" sqref="L10"/>
    </sheetView>
  </sheetViews>
  <sheetFormatPr defaultColWidth="8.85546875" defaultRowHeight="15" x14ac:dyDescent="0.25"/>
  <cols>
    <col min="1" max="1" width="6" style="63" customWidth="1"/>
    <col min="2" max="2" width="36.7109375" style="47" bestFit="1" customWidth="1"/>
    <col min="3" max="3" width="11.7109375" style="47" customWidth="1"/>
    <col min="4" max="5" width="8.42578125" style="65" bestFit="1" customWidth="1"/>
    <col min="6" max="6" width="10.28515625" style="66" customWidth="1"/>
    <col min="7" max="7" width="10.85546875" style="47" customWidth="1"/>
    <col min="8" max="8" width="10" style="47" customWidth="1"/>
    <col min="9" max="9" width="13.42578125" style="47" customWidth="1"/>
    <col min="10" max="10" width="11.140625" style="47" bestFit="1" customWidth="1"/>
    <col min="11" max="11" width="13.85546875" style="47" customWidth="1"/>
    <col min="12" max="12" width="10.28515625" style="47" customWidth="1"/>
    <col min="13" max="13" width="9.85546875" style="47" customWidth="1"/>
    <col min="14" max="16384" width="8.85546875" style="47"/>
  </cols>
  <sheetData>
    <row r="1" spans="1:10" ht="12.75" customHeight="1" x14ac:dyDescent="0.25">
      <c r="A1" s="44"/>
      <c r="B1" s="45" t="s">
        <v>42</v>
      </c>
      <c r="C1" s="46" t="s">
        <v>43</v>
      </c>
      <c r="D1" s="132"/>
      <c r="E1" s="132"/>
      <c r="F1" s="47"/>
    </row>
    <row r="2" spans="1:10" ht="28.5" customHeight="1" x14ac:dyDescent="0.25">
      <c r="A2" s="48"/>
      <c r="B2" s="49"/>
      <c r="C2" s="50" t="s">
        <v>44</v>
      </c>
      <c r="D2" s="51" t="s">
        <v>45</v>
      </c>
      <c r="E2" s="51" t="s">
        <v>46</v>
      </c>
      <c r="F2" s="51" t="s">
        <v>47</v>
      </c>
      <c r="G2" s="51" t="s">
        <v>48</v>
      </c>
      <c r="H2" s="51" t="s">
        <v>49</v>
      </c>
      <c r="I2" s="51" t="s">
        <v>50</v>
      </c>
      <c r="J2" s="51" t="s">
        <v>51</v>
      </c>
    </row>
    <row r="3" spans="1:10" x14ac:dyDescent="0.25">
      <c r="A3" s="44">
        <v>1</v>
      </c>
      <c r="B3" s="52" t="s">
        <v>52</v>
      </c>
      <c r="C3" s="53">
        <v>20</v>
      </c>
      <c r="D3" s="54" t="s">
        <v>53</v>
      </c>
      <c r="E3" s="54" t="s">
        <v>53</v>
      </c>
      <c r="F3" s="54" t="s">
        <v>53</v>
      </c>
      <c r="G3" s="54" t="s">
        <v>53</v>
      </c>
      <c r="H3" s="44">
        <v>3</v>
      </c>
      <c r="I3" s="55">
        <f>H3*C3</f>
        <v>60</v>
      </c>
      <c r="J3" s="56">
        <f>C3*1</f>
        <v>20</v>
      </c>
    </row>
    <row r="4" spans="1:10" x14ac:dyDescent="0.25">
      <c r="A4" s="44">
        <v>2</v>
      </c>
      <c r="B4" s="57" t="s">
        <v>54</v>
      </c>
      <c r="C4" s="53">
        <v>9</v>
      </c>
      <c r="D4" s="54" t="s">
        <v>53</v>
      </c>
      <c r="E4" s="54" t="s">
        <v>53</v>
      </c>
      <c r="F4" s="54" t="s">
        <v>53</v>
      </c>
      <c r="G4" s="59"/>
      <c r="H4" s="44">
        <v>3</v>
      </c>
      <c r="I4" s="55">
        <f>H4*C4</f>
        <v>27</v>
      </c>
      <c r="J4" s="56"/>
    </row>
    <row r="5" spans="1:10" x14ac:dyDescent="0.25">
      <c r="A5" s="44">
        <v>3</v>
      </c>
      <c r="B5" s="57" t="s">
        <v>55</v>
      </c>
      <c r="C5" s="53">
        <v>5</v>
      </c>
      <c r="D5" s="54" t="s">
        <v>53</v>
      </c>
      <c r="E5" s="54" t="s">
        <v>53</v>
      </c>
      <c r="F5" s="54" t="s">
        <v>53</v>
      </c>
      <c r="G5" s="59"/>
      <c r="H5" s="44">
        <v>3</v>
      </c>
      <c r="I5" s="55">
        <f>H5*C5</f>
        <v>15</v>
      </c>
      <c r="J5" s="56"/>
    </row>
    <row r="6" spans="1:10" x14ac:dyDescent="0.25">
      <c r="A6" s="44">
        <v>8</v>
      </c>
      <c r="B6" s="69" t="s">
        <v>95</v>
      </c>
      <c r="C6" s="53">
        <v>110</v>
      </c>
      <c r="D6" s="54"/>
      <c r="E6" s="58"/>
      <c r="F6" s="54"/>
      <c r="G6" s="54" t="s">
        <v>53</v>
      </c>
      <c r="H6" s="44">
        <v>1</v>
      </c>
      <c r="I6" s="55">
        <v>0</v>
      </c>
      <c r="J6" s="56">
        <f>C6*1</f>
        <v>110</v>
      </c>
    </row>
    <row r="7" spans="1:10" ht="15.75" x14ac:dyDescent="0.25">
      <c r="A7" s="44"/>
      <c r="B7" s="60" t="s">
        <v>61</v>
      </c>
      <c r="C7" s="61"/>
      <c r="D7" s="62"/>
      <c r="E7" s="62"/>
      <c r="F7" s="62"/>
      <c r="G7" s="62"/>
      <c r="H7" s="44"/>
      <c r="I7" s="55">
        <f>I3+I4+I5+I6</f>
        <v>102</v>
      </c>
      <c r="J7" s="56">
        <f>J3+J6</f>
        <v>130</v>
      </c>
    </row>
    <row r="10" spans="1:10" ht="12.75" customHeight="1" x14ac:dyDescent="0.25">
      <c r="A10" s="44"/>
      <c r="B10" s="45" t="s">
        <v>42</v>
      </c>
      <c r="C10" s="46" t="s">
        <v>62</v>
      </c>
      <c r="D10" s="132"/>
      <c r="E10" s="132"/>
      <c r="F10" s="47"/>
    </row>
    <row r="11" spans="1:10" ht="28.5" customHeight="1" x14ac:dyDescent="0.25">
      <c r="A11" s="48"/>
      <c r="B11" s="49"/>
      <c r="C11" s="50" t="s">
        <v>44</v>
      </c>
      <c r="D11" s="51" t="s">
        <v>45</v>
      </c>
      <c r="E11" s="51" t="s">
        <v>46</v>
      </c>
      <c r="F11" s="51" t="s">
        <v>47</v>
      </c>
      <c r="G11" s="51" t="s">
        <v>48</v>
      </c>
      <c r="H11" s="51" t="s">
        <v>49</v>
      </c>
      <c r="I11" s="51" t="s">
        <v>50</v>
      </c>
      <c r="J11" s="51" t="s">
        <v>51</v>
      </c>
    </row>
    <row r="12" spans="1:10" x14ac:dyDescent="0.25">
      <c r="A12" s="44">
        <v>1</v>
      </c>
      <c r="B12" s="52" t="s">
        <v>52</v>
      </c>
      <c r="C12" s="53">
        <v>20</v>
      </c>
      <c r="D12" s="54" t="s">
        <v>53</v>
      </c>
      <c r="E12" s="54" t="s">
        <v>53</v>
      </c>
      <c r="F12" s="54" t="s">
        <v>53</v>
      </c>
      <c r="G12" s="54" t="s">
        <v>53</v>
      </c>
      <c r="H12" s="44">
        <v>3</v>
      </c>
      <c r="I12" s="55">
        <f>H12*C12</f>
        <v>60</v>
      </c>
      <c r="J12" s="56">
        <f>C12*1</f>
        <v>20</v>
      </c>
    </row>
    <row r="13" spans="1:10" x14ac:dyDescent="0.25">
      <c r="A13" s="44">
        <v>2</v>
      </c>
      <c r="B13" s="57" t="s">
        <v>54</v>
      </c>
      <c r="C13" s="53">
        <v>9</v>
      </c>
      <c r="D13" s="47"/>
      <c r="E13" s="54"/>
      <c r="F13" s="54"/>
      <c r="G13" s="59"/>
      <c r="H13" s="44">
        <v>0</v>
      </c>
      <c r="I13" s="55">
        <f>H13*C13</f>
        <v>0</v>
      </c>
      <c r="J13" s="56"/>
    </row>
    <row r="14" spans="1:10" x14ac:dyDescent="0.25">
      <c r="A14" s="44">
        <v>3</v>
      </c>
      <c r="B14" s="57" t="s">
        <v>55</v>
      </c>
      <c r="C14" s="53">
        <v>5</v>
      </c>
      <c r="D14" s="54" t="s">
        <v>53</v>
      </c>
      <c r="E14" s="54" t="s">
        <v>53</v>
      </c>
      <c r="F14" s="54" t="s">
        <v>53</v>
      </c>
      <c r="G14" s="59"/>
      <c r="H14" s="44">
        <v>3</v>
      </c>
      <c r="I14" s="55">
        <f>H14*C14</f>
        <v>15</v>
      </c>
      <c r="J14" s="56"/>
    </row>
    <row r="15" spans="1:10" x14ac:dyDescent="0.25">
      <c r="A15" s="44">
        <v>8</v>
      </c>
      <c r="B15" s="69" t="s">
        <v>95</v>
      </c>
      <c r="C15" s="53">
        <v>110</v>
      </c>
      <c r="D15" s="54"/>
      <c r="E15" s="58"/>
      <c r="F15" s="54"/>
      <c r="G15" s="54" t="s">
        <v>53</v>
      </c>
      <c r="H15" s="44">
        <v>1</v>
      </c>
      <c r="I15" s="55">
        <v>0</v>
      </c>
      <c r="J15" s="56">
        <f>C15*1</f>
        <v>110</v>
      </c>
    </row>
    <row r="16" spans="1:10" ht="15.75" x14ac:dyDescent="0.25">
      <c r="A16" s="44"/>
      <c r="B16" s="60" t="s">
        <v>61</v>
      </c>
      <c r="C16" s="61"/>
      <c r="D16" s="62"/>
      <c r="E16" s="62"/>
      <c r="F16" s="62"/>
      <c r="G16" s="62"/>
      <c r="H16" s="44"/>
      <c r="I16" s="55">
        <f>I12+I13+I14+I15</f>
        <v>75</v>
      </c>
      <c r="J16" s="56">
        <f>J12+J15</f>
        <v>130</v>
      </c>
    </row>
    <row r="17" spans="5:5" x14ac:dyDescent="0.25">
      <c r="E17" s="70" t="s">
        <v>69</v>
      </c>
    </row>
  </sheetData>
  <mergeCells count="2">
    <mergeCell ref="D1:E1"/>
    <mergeCell ref="D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8"/>
  <sheetViews>
    <sheetView topLeftCell="A8" workbookViewId="0">
      <selection activeCell="J22" sqref="J22"/>
    </sheetView>
  </sheetViews>
  <sheetFormatPr defaultRowHeight="15" x14ac:dyDescent="0.25"/>
  <cols>
    <col min="3" max="3" width="44.140625" customWidth="1"/>
    <col min="4" max="4" width="14.5703125" bestFit="1" customWidth="1"/>
  </cols>
  <sheetData>
    <row r="3" spans="2:7" ht="15.75" thickBot="1" x14ac:dyDescent="0.3"/>
    <row r="4" spans="2:7" x14ac:dyDescent="0.25">
      <c r="B4" s="105" t="s">
        <v>107</v>
      </c>
      <c r="C4" s="105" t="s">
        <v>108</v>
      </c>
      <c r="D4" s="97" t="s">
        <v>50</v>
      </c>
      <c r="E4" s="107" t="s">
        <v>115</v>
      </c>
      <c r="F4" s="108"/>
      <c r="G4" s="108"/>
    </row>
    <row r="5" spans="2:7" ht="15.75" thickBot="1" x14ac:dyDescent="0.3">
      <c r="B5" s="106"/>
      <c r="C5" s="106"/>
      <c r="D5" s="98" t="s">
        <v>109</v>
      </c>
      <c r="E5" s="107"/>
      <c r="F5" s="108"/>
      <c r="G5" s="108"/>
    </row>
    <row r="6" spans="2:7" ht="15.75" thickBot="1" x14ac:dyDescent="0.3">
      <c r="B6" s="99">
        <v>1</v>
      </c>
      <c r="C6" s="100" t="s">
        <v>110</v>
      </c>
      <c r="D6" s="101">
        <v>1100</v>
      </c>
    </row>
    <row r="7" spans="2:7" ht="15.75" thickBot="1" x14ac:dyDescent="0.3">
      <c r="B7" s="99">
        <v>2</v>
      </c>
      <c r="C7" s="100" t="s">
        <v>111</v>
      </c>
      <c r="D7" s="101">
        <v>19500</v>
      </c>
    </row>
    <row r="8" spans="2:7" ht="15.75" thickBot="1" x14ac:dyDescent="0.3">
      <c r="B8" s="99">
        <v>3</v>
      </c>
      <c r="C8" s="100" t="s">
        <v>112</v>
      </c>
      <c r="D8" s="100">
        <v>800</v>
      </c>
    </row>
    <row r="9" spans="2:7" ht="15.75" thickBot="1" x14ac:dyDescent="0.3">
      <c r="B9" s="99">
        <v>4</v>
      </c>
      <c r="C9" s="100" t="s">
        <v>113</v>
      </c>
      <c r="D9" s="101">
        <v>1200</v>
      </c>
    </row>
    <row r="10" spans="2:7" ht="15.75" thickBot="1" x14ac:dyDescent="0.3">
      <c r="B10" s="99"/>
      <c r="C10" s="102" t="s">
        <v>114</v>
      </c>
      <c r="D10" s="103">
        <f>D6+D7+D8+D9</f>
        <v>22600</v>
      </c>
    </row>
    <row r="12" spans="2:7" ht="15.75" thickBot="1" x14ac:dyDescent="0.3"/>
    <row r="13" spans="2:7" x14ac:dyDescent="0.25">
      <c r="B13" s="105" t="s">
        <v>107</v>
      </c>
      <c r="C13" s="105" t="s">
        <v>108</v>
      </c>
      <c r="D13" s="97" t="s">
        <v>50</v>
      </c>
      <c r="E13" s="107" t="s">
        <v>116</v>
      </c>
      <c r="F13" s="108"/>
      <c r="G13" s="108"/>
    </row>
    <row r="14" spans="2:7" ht="15.75" thickBot="1" x14ac:dyDescent="0.3">
      <c r="B14" s="106"/>
      <c r="C14" s="106"/>
      <c r="D14" s="98" t="s">
        <v>109</v>
      </c>
      <c r="E14" s="107"/>
      <c r="F14" s="108"/>
      <c r="G14" s="108"/>
    </row>
    <row r="15" spans="2:7" ht="15.75" thickBot="1" x14ac:dyDescent="0.3">
      <c r="B15" s="99">
        <v>1</v>
      </c>
      <c r="C15" s="100" t="s">
        <v>110</v>
      </c>
      <c r="D15" s="101">
        <v>1100</v>
      </c>
    </row>
    <row r="16" spans="2:7" ht="15.75" thickBot="1" x14ac:dyDescent="0.3">
      <c r="B16" s="99">
        <v>2</v>
      </c>
      <c r="C16" s="100" t="s">
        <v>111</v>
      </c>
      <c r="D16" s="101">
        <v>8000</v>
      </c>
    </row>
    <row r="17" spans="2:7" ht="15.75" thickBot="1" x14ac:dyDescent="0.3">
      <c r="B17" s="99">
        <v>3</v>
      </c>
      <c r="C17" s="100" t="s">
        <v>112</v>
      </c>
      <c r="D17" s="100">
        <v>800</v>
      </c>
    </row>
    <row r="18" spans="2:7" ht="15.75" thickBot="1" x14ac:dyDescent="0.3">
      <c r="B18" s="99">
        <v>4</v>
      </c>
      <c r="C18" s="100" t="s">
        <v>113</v>
      </c>
      <c r="D18" s="101">
        <v>1200</v>
      </c>
    </row>
    <row r="19" spans="2:7" ht="15.75" thickBot="1" x14ac:dyDescent="0.3">
      <c r="B19" s="99"/>
      <c r="C19" s="102" t="s">
        <v>114</v>
      </c>
      <c r="D19" s="103">
        <f>D15+D16+D17+D18</f>
        <v>11100</v>
      </c>
    </row>
    <row r="21" spans="2:7" ht="15.75" thickBot="1" x14ac:dyDescent="0.3"/>
    <row r="22" spans="2:7" x14ac:dyDescent="0.25">
      <c r="B22" s="105" t="s">
        <v>107</v>
      </c>
      <c r="C22" s="105" t="s">
        <v>108</v>
      </c>
      <c r="D22" s="97" t="s">
        <v>50</v>
      </c>
      <c r="E22" s="107" t="s">
        <v>117</v>
      </c>
      <c r="F22" s="108"/>
      <c r="G22" s="108"/>
    </row>
    <row r="23" spans="2:7" ht="15.75" thickBot="1" x14ac:dyDescent="0.3">
      <c r="B23" s="106"/>
      <c r="C23" s="106"/>
      <c r="D23" s="98" t="s">
        <v>109</v>
      </c>
      <c r="E23" s="107"/>
      <c r="F23" s="108"/>
      <c r="G23" s="108"/>
    </row>
    <row r="24" spans="2:7" ht="15.75" thickBot="1" x14ac:dyDescent="0.3">
      <c r="B24" s="99">
        <v>1</v>
      </c>
      <c r="C24" s="100" t="s">
        <v>110</v>
      </c>
      <c r="D24" s="101">
        <v>1100</v>
      </c>
    </row>
    <row r="25" spans="2:7" ht="15.75" thickBot="1" x14ac:dyDescent="0.3">
      <c r="B25" s="99">
        <v>2</v>
      </c>
      <c r="C25" s="100" t="s">
        <v>111</v>
      </c>
      <c r="D25" s="101">
        <v>4600</v>
      </c>
    </row>
    <row r="26" spans="2:7" ht="15.75" thickBot="1" x14ac:dyDescent="0.3">
      <c r="B26" s="99">
        <v>3</v>
      </c>
      <c r="C26" s="100" t="s">
        <v>112</v>
      </c>
      <c r="D26" s="100">
        <v>800</v>
      </c>
    </row>
    <row r="27" spans="2:7" ht="15.75" thickBot="1" x14ac:dyDescent="0.3">
      <c r="B27" s="99">
        <v>4</v>
      </c>
      <c r="C27" s="100" t="s">
        <v>113</v>
      </c>
      <c r="D27" s="101">
        <v>1200</v>
      </c>
    </row>
    <row r="28" spans="2:7" ht="15.75" thickBot="1" x14ac:dyDescent="0.3">
      <c r="B28" s="99"/>
      <c r="C28" s="102" t="s">
        <v>114</v>
      </c>
      <c r="D28" s="103">
        <f>D24+D25+D26+D27</f>
        <v>7700</v>
      </c>
    </row>
  </sheetData>
  <mergeCells count="9">
    <mergeCell ref="E4:G5"/>
    <mergeCell ref="E13:G14"/>
    <mergeCell ref="E22:G23"/>
    <mergeCell ref="B4:B5"/>
    <mergeCell ref="C4:C5"/>
    <mergeCell ref="B13:B14"/>
    <mergeCell ref="C13:C14"/>
    <mergeCell ref="B22:B23"/>
    <mergeCell ref="C22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46" zoomScaleNormal="100" workbookViewId="0">
      <selection activeCell="C52" sqref="C52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x14ac:dyDescent="0.25">
      <c r="F2" s="1"/>
      <c r="G2" s="111" t="s">
        <v>1</v>
      </c>
      <c r="H2" s="111"/>
      <c r="I2" s="1"/>
      <c r="J2" s="111" t="s">
        <v>2</v>
      </c>
      <c r="K2" s="111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2" t="s">
        <v>5</v>
      </c>
      <c r="E4" s="113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114" t="s">
        <v>6</v>
      </c>
      <c r="B5" s="115" t="s">
        <v>97</v>
      </c>
      <c r="C5" s="4" t="s">
        <v>7</v>
      </c>
      <c r="D5" s="40">
        <f>'მკურნალობაში ჩართვა-სტანდარტული'!I4</f>
        <v>60</v>
      </c>
      <c r="E5" s="116">
        <f>D5+D7+D6</f>
        <v>429</v>
      </c>
      <c r="F5" s="1"/>
      <c r="G5" s="117">
        <f>(E5-D5-D6)*$G$4</f>
        <v>0</v>
      </c>
      <c r="H5" s="117">
        <f>(E5-D5-D6)*$H$4</f>
        <v>0</v>
      </c>
      <c r="I5" s="1"/>
      <c r="J5" s="117">
        <f>(E5-D5-D6)*$J$4+D5+D6</f>
        <v>429</v>
      </c>
      <c r="K5" s="117">
        <f>(E5-D5-D6)*$K$4+D5+D6</f>
        <v>429</v>
      </c>
    </row>
    <row r="6" spans="1:11" x14ac:dyDescent="0.25">
      <c r="A6" s="114"/>
      <c r="B6" s="115"/>
      <c r="C6" s="4" t="s">
        <v>9</v>
      </c>
      <c r="D6" s="40">
        <f>'მკურნალობაში ჩართვა-სტანდარტული'!I5</f>
        <v>140</v>
      </c>
      <c r="E6" s="116"/>
      <c r="F6" s="1"/>
      <c r="G6" s="117"/>
      <c r="H6" s="117"/>
      <c r="I6" s="1"/>
      <c r="J6" s="117"/>
      <c r="K6" s="117"/>
    </row>
    <row r="7" spans="1:11" x14ac:dyDescent="0.25">
      <c r="A7" s="114"/>
      <c r="B7" s="115"/>
      <c r="C7" s="4" t="s">
        <v>8</v>
      </c>
      <c r="D7" s="40">
        <f>'მკურნალობაში ჩართვა-სტანდარტული'!I6</f>
        <v>229</v>
      </c>
      <c r="E7" s="116"/>
      <c r="F7" s="1"/>
      <c r="G7" s="117"/>
      <c r="H7" s="117"/>
      <c r="I7" s="1"/>
      <c r="J7" s="117"/>
      <c r="K7" s="117"/>
    </row>
    <row r="8" spans="1:11" x14ac:dyDescent="0.25">
      <c r="A8" s="114"/>
      <c r="E8" s="9"/>
      <c r="F8" s="1"/>
      <c r="I8" s="1"/>
    </row>
    <row r="9" spans="1:11" x14ac:dyDescent="0.25">
      <c r="A9" s="114"/>
      <c r="D9" s="8"/>
      <c r="E9" s="9"/>
      <c r="F9" s="1"/>
      <c r="I9" s="1"/>
    </row>
    <row r="10" spans="1:11" x14ac:dyDescent="0.25">
      <c r="A10" s="114"/>
      <c r="B10" s="115" t="s">
        <v>98</v>
      </c>
      <c r="C10" s="4" t="s">
        <v>7</v>
      </c>
      <c r="D10" s="40">
        <f>'მკურნალობაში ჩართვა-სტანდარტული'!I12</f>
        <v>60</v>
      </c>
      <c r="E10" s="116">
        <f>D10+D12+D11</f>
        <v>349</v>
      </c>
      <c r="F10" s="1"/>
      <c r="G10" s="117">
        <f>(E10-D10-D11)*$G$4</f>
        <v>0</v>
      </c>
      <c r="H10" s="117">
        <f>(E10-D10-D11)*$H$4</f>
        <v>0</v>
      </c>
      <c r="I10" s="1"/>
      <c r="J10" s="117">
        <f>(E10-D10-D11)*$J$4+D10+D11</f>
        <v>349</v>
      </c>
      <c r="K10" s="117">
        <f>(E10-D10-D11)*$K$4+D10+D11</f>
        <v>349</v>
      </c>
    </row>
    <row r="11" spans="1:11" x14ac:dyDescent="0.25">
      <c r="A11" s="114"/>
      <c r="B11" s="115"/>
      <c r="C11" s="4" t="s">
        <v>9</v>
      </c>
      <c r="D11" s="40">
        <f>'მკურნალობაში ჩართვა-სტანდარტული'!I13</f>
        <v>140</v>
      </c>
      <c r="E11" s="116"/>
      <c r="F11" s="1"/>
      <c r="G11" s="117"/>
      <c r="H11" s="117"/>
      <c r="I11" s="1"/>
      <c r="J11" s="117"/>
      <c r="K11" s="117"/>
    </row>
    <row r="12" spans="1:11" x14ac:dyDescent="0.25">
      <c r="A12" s="114"/>
      <c r="B12" s="115"/>
      <c r="C12" s="4" t="s">
        <v>10</v>
      </c>
      <c r="D12" s="40">
        <f>'მკურნალობაში ჩართვა-სტანდარტული'!I14</f>
        <v>149</v>
      </c>
      <c r="E12" s="116"/>
      <c r="F12" s="1"/>
      <c r="G12" s="117"/>
      <c r="H12" s="117"/>
      <c r="I12" s="1"/>
      <c r="J12" s="117"/>
      <c r="K12" s="117"/>
    </row>
    <row r="13" spans="1:11" x14ac:dyDescent="0.25">
      <c r="A13" s="114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14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14"/>
      <c r="B15" s="118" t="s">
        <v>99</v>
      </c>
      <c r="C15" s="4" t="s">
        <v>7</v>
      </c>
      <c r="D15" s="40">
        <f>'მკურნალობაში ჩართვა-პჯდ'!I4</f>
        <v>60</v>
      </c>
      <c r="E15" s="116">
        <f>D15+D17+D16</f>
        <v>381</v>
      </c>
      <c r="F15" s="1"/>
      <c r="G15" s="117">
        <f>(E15-D15-D16)*$G$4</f>
        <v>0</v>
      </c>
      <c r="H15" s="117">
        <f>(E15-D15-D16)*$H$4</f>
        <v>0</v>
      </c>
      <c r="I15" s="1"/>
      <c r="J15" s="117">
        <f>(E15-D15-D16)*$J$4+D15+D16</f>
        <v>381</v>
      </c>
      <c r="K15" s="117">
        <f>(E15-D15-D16)*$K$4+D15+D16</f>
        <v>381</v>
      </c>
    </row>
    <row r="16" spans="1:11" x14ac:dyDescent="0.25">
      <c r="A16" s="114"/>
      <c r="B16" s="118"/>
      <c r="C16" s="4" t="s">
        <v>9</v>
      </c>
      <c r="D16" s="40">
        <f>'მკურნალობაში ჩართვა-პჯდ'!I5</f>
        <v>140</v>
      </c>
      <c r="E16" s="116"/>
      <c r="F16" s="1"/>
      <c r="G16" s="117"/>
      <c r="H16" s="117"/>
      <c r="I16" s="1"/>
      <c r="J16" s="117"/>
      <c r="K16" s="117"/>
    </row>
    <row r="17" spans="1:11" x14ac:dyDescent="0.25">
      <c r="A17" s="114"/>
      <c r="B17" s="118"/>
      <c r="C17" s="4" t="s">
        <v>8</v>
      </c>
      <c r="D17" s="40">
        <f>'მკურნალობაში ჩართვა-პჯდ'!I6</f>
        <v>181</v>
      </c>
      <c r="E17" s="116"/>
      <c r="F17" s="1"/>
      <c r="G17" s="117"/>
      <c r="H17" s="117"/>
      <c r="I17" s="1"/>
      <c r="J17" s="117"/>
      <c r="K17" s="117"/>
    </row>
    <row r="18" spans="1:11" x14ac:dyDescent="0.25">
      <c r="A18" s="114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14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14"/>
      <c r="B20" s="118" t="s">
        <v>100</v>
      </c>
      <c r="C20" s="4" t="s">
        <v>7</v>
      </c>
      <c r="D20" s="40">
        <f>'მკურნალობაში ჩართვა-პჯდ'!I12</f>
        <v>60</v>
      </c>
      <c r="E20" s="116">
        <f>D20+D22+D21</f>
        <v>301</v>
      </c>
      <c r="F20" s="1"/>
      <c r="G20" s="117">
        <f>(E20-D20-D21)*$G$4</f>
        <v>0</v>
      </c>
      <c r="H20" s="117">
        <f>(E20-D20-D21)*$H$4</f>
        <v>0</v>
      </c>
      <c r="I20" s="1"/>
      <c r="J20" s="117">
        <f>(E20-D20-D21)*$J$4+D20+D21</f>
        <v>301</v>
      </c>
      <c r="K20" s="117">
        <f>(E20-D20-D21)*$K$4+D20+D21</f>
        <v>301</v>
      </c>
    </row>
    <row r="21" spans="1:11" x14ac:dyDescent="0.25">
      <c r="A21" s="114"/>
      <c r="B21" s="118"/>
      <c r="C21" s="4" t="s">
        <v>9</v>
      </c>
      <c r="D21" s="40">
        <f>'მკურნალობაში ჩართვა-პჯდ'!I13</f>
        <v>140</v>
      </c>
      <c r="E21" s="116"/>
      <c r="F21" s="1"/>
      <c r="G21" s="117"/>
      <c r="H21" s="117"/>
      <c r="I21" s="1"/>
      <c r="J21" s="117"/>
      <c r="K21" s="117"/>
    </row>
    <row r="22" spans="1:11" x14ac:dyDescent="0.25">
      <c r="A22" s="114"/>
      <c r="B22" s="118"/>
      <c r="C22" s="4" t="s">
        <v>8</v>
      </c>
      <c r="D22" s="40">
        <f>'მკურნალობაში ჩართვა-პჯდ'!I14</f>
        <v>101</v>
      </c>
      <c r="E22" s="116"/>
      <c r="F22" s="1"/>
      <c r="G22" s="117"/>
      <c r="H22" s="117"/>
      <c r="I22" s="1"/>
      <c r="J22" s="117"/>
      <c r="K22" s="117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14"/>
      <c r="B24" s="118" t="s">
        <v>11</v>
      </c>
      <c r="C24" s="10" t="s">
        <v>12</v>
      </c>
      <c r="D24" s="40">
        <f>'მონიტორინგი-სტანდარტული'!I10-110</f>
        <v>117</v>
      </c>
      <c r="E24" s="116">
        <f>AVERAGE(D24:D25)</f>
        <v>112.5</v>
      </c>
      <c r="F24" s="1"/>
      <c r="G24" s="119">
        <v>0</v>
      </c>
      <c r="H24" s="119">
        <f>E24*70%</f>
        <v>78.75</v>
      </c>
      <c r="I24" s="1"/>
      <c r="J24" s="119">
        <f>E24*100%</f>
        <v>112.5</v>
      </c>
      <c r="K24" s="119">
        <f>E24*30%</f>
        <v>33.75</v>
      </c>
    </row>
    <row r="25" spans="1:11" x14ac:dyDescent="0.25">
      <c r="A25" s="114"/>
      <c r="B25" s="118"/>
      <c r="C25" s="11" t="s">
        <v>13</v>
      </c>
      <c r="D25" s="40">
        <f>'მონიტორინგი-სტანდარტული'!I22-110</f>
        <v>108</v>
      </c>
      <c r="E25" s="116"/>
      <c r="F25" s="1"/>
      <c r="G25" s="120"/>
      <c r="H25" s="120"/>
      <c r="I25" s="1"/>
      <c r="J25" s="120"/>
      <c r="K25" s="120"/>
    </row>
    <row r="26" spans="1:11" x14ac:dyDescent="0.25">
      <c r="A26" s="114"/>
      <c r="E26" s="9"/>
      <c r="F26" s="1"/>
      <c r="I26" s="1"/>
    </row>
    <row r="27" spans="1:11" x14ac:dyDescent="0.25">
      <c r="A27" s="114"/>
      <c r="B27" s="118" t="s">
        <v>14</v>
      </c>
      <c r="C27" s="10" t="s">
        <v>15</v>
      </c>
      <c r="D27" s="40">
        <f>'მონიტორინგი-სტანდარტული'!K36-110</f>
        <v>176</v>
      </c>
      <c r="E27" s="116">
        <f>AVERAGE(D27:D28)</f>
        <v>171.5</v>
      </c>
      <c r="F27" s="1"/>
      <c r="G27" s="117">
        <v>0</v>
      </c>
      <c r="H27" s="117">
        <f>E27*70%</f>
        <v>120.05</v>
      </c>
      <c r="I27" s="1"/>
      <c r="J27" s="117">
        <f>E27*100%</f>
        <v>171.5</v>
      </c>
      <c r="K27" s="117">
        <f>E27*30%</f>
        <v>51.449999999999996</v>
      </c>
    </row>
    <row r="28" spans="1:11" x14ac:dyDescent="0.25">
      <c r="A28" s="114"/>
      <c r="B28" s="118"/>
      <c r="C28" s="11" t="s">
        <v>16</v>
      </c>
      <c r="D28" s="40">
        <f>'მონიტორინგი-სტანდარტული'!K49-110</f>
        <v>167</v>
      </c>
      <c r="E28" s="116"/>
      <c r="F28" s="1"/>
      <c r="G28" s="117"/>
      <c r="H28" s="117"/>
      <c r="I28" s="1"/>
      <c r="J28" s="117"/>
      <c r="K28" s="117"/>
    </row>
    <row r="29" spans="1:11" x14ac:dyDescent="0.25">
      <c r="A29" s="114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14"/>
      <c r="B30" s="124" t="s">
        <v>101</v>
      </c>
      <c r="C30" s="10" t="s">
        <v>12</v>
      </c>
      <c r="D30" s="40">
        <f>'მონიტორინგი-პჯდ'!I7</f>
        <v>102</v>
      </c>
      <c r="E30" s="116">
        <f>AVERAGE(D30:D31)</f>
        <v>88.5</v>
      </c>
      <c r="F30" s="1"/>
      <c r="G30" s="117">
        <v>0</v>
      </c>
      <c r="H30" s="117">
        <f>E30*70%</f>
        <v>61.949999999999996</v>
      </c>
      <c r="I30" s="1"/>
      <c r="J30" s="117">
        <f>E30*100%</f>
        <v>88.5</v>
      </c>
      <c r="K30" s="117">
        <f>E30*30%</f>
        <v>26.55</v>
      </c>
    </row>
    <row r="31" spans="1:11" x14ac:dyDescent="0.25">
      <c r="A31" s="114"/>
      <c r="B31" s="124"/>
      <c r="C31" s="10" t="s">
        <v>13</v>
      </c>
      <c r="D31" s="96">
        <f>'მონიტორინგი-პჯდ'!I16</f>
        <v>75</v>
      </c>
      <c r="E31" s="116"/>
      <c r="F31" s="1"/>
      <c r="G31" s="117"/>
      <c r="H31" s="117"/>
      <c r="I31" s="1"/>
      <c r="J31" s="117"/>
      <c r="K31" s="117"/>
    </row>
    <row r="32" spans="1:11" x14ac:dyDescent="0.25">
      <c r="A32" s="114"/>
      <c r="C32" s="11"/>
      <c r="E32" s="9"/>
      <c r="F32" s="1"/>
      <c r="I32" s="1"/>
    </row>
    <row r="33" spans="1:14" x14ac:dyDescent="0.25">
      <c r="A33" s="114"/>
      <c r="B33" s="41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43">
        <v>130</v>
      </c>
      <c r="F33" s="1"/>
      <c r="G33" s="40">
        <v>0</v>
      </c>
      <c r="H33" s="40">
        <v>0</v>
      </c>
      <c r="I33" s="1"/>
      <c r="J33" s="40">
        <f>E33</f>
        <v>130</v>
      </c>
      <c r="K33" s="40">
        <f>E33</f>
        <v>130</v>
      </c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4" x14ac:dyDescent="0.25">
      <c r="A35" s="122" t="s">
        <v>19</v>
      </c>
      <c r="B35" s="118" t="s">
        <v>20</v>
      </c>
      <c r="C35" s="4" t="s">
        <v>21</v>
      </c>
      <c r="D35" s="40">
        <f>E5+E24+E33</f>
        <v>671.5</v>
      </c>
      <c r="E35" s="116">
        <f>AVERAGE(D35:D36)</f>
        <v>631.5</v>
      </c>
      <c r="F35" s="1"/>
      <c r="G35" s="117">
        <f>(E35-E33-D5-D6)*G4</f>
        <v>0</v>
      </c>
      <c r="H35" s="117">
        <f>(E35-E33-D5-D6)*H4</f>
        <v>0</v>
      </c>
      <c r="I35" s="1"/>
      <c r="J35" s="117">
        <f>(E35-E33-D5-D6)*J4+E33+D5+D6</f>
        <v>631.5</v>
      </c>
      <c r="K35" s="117">
        <f>(E35-E33-D5-D6)*K4+E33+D5+D6</f>
        <v>631.5</v>
      </c>
      <c r="M35">
        <f>'დიაგნოსტიკა თანაგადახდის გარეშე'!D35</f>
        <v>781.5</v>
      </c>
      <c r="N35" s="109">
        <f>'დიაგნოსტიკა თანაგადახდის გარეშე'!E35:E36</f>
        <v>741.5</v>
      </c>
    </row>
    <row r="36" spans="1:14" x14ac:dyDescent="0.25">
      <c r="A36" s="123"/>
      <c r="B36" s="118"/>
      <c r="C36" s="4" t="s">
        <v>22</v>
      </c>
      <c r="D36" s="40">
        <f>E10+E24+E33</f>
        <v>591.5</v>
      </c>
      <c r="E36" s="116"/>
      <c r="F36" s="1"/>
      <c r="G36" s="117"/>
      <c r="H36" s="117"/>
      <c r="I36" s="1"/>
      <c r="J36" s="117"/>
      <c r="K36" s="117"/>
      <c r="M36">
        <f>'დიაგნოსტიკა თანაგადახდის გარეშე'!D36</f>
        <v>701.5</v>
      </c>
      <c r="N36" s="109"/>
    </row>
    <row r="37" spans="1:14" x14ac:dyDescent="0.25">
      <c r="A37" s="123"/>
      <c r="B37" s="9"/>
      <c r="D37" s="8"/>
      <c r="E37" s="9"/>
      <c r="F37" s="1"/>
      <c r="I37" s="1"/>
    </row>
    <row r="38" spans="1:14" x14ac:dyDescent="0.25">
      <c r="A38" s="123"/>
      <c r="B38" s="118" t="s">
        <v>23</v>
      </c>
      <c r="C38" s="4" t="s">
        <v>24</v>
      </c>
      <c r="D38" s="40">
        <f>E5+E27+E33</f>
        <v>730.5</v>
      </c>
      <c r="E38" s="116">
        <f>AVERAGE(D38:D39)</f>
        <v>690.5</v>
      </c>
      <c r="F38" s="1"/>
      <c r="G38" s="117">
        <f>(E38-E33-D5-D6)*G4</f>
        <v>0</v>
      </c>
      <c r="H38" s="117">
        <f>(E38-E33-D5-D6)*H4</f>
        <v>0</v>
      </c>
      <c r="I38" s="1"/>
      <c r="J38" s="117">
        <f>(E38-E33-D5-D6)*J4+E33+D5+D6</f>
        <v>690.5</v>
      </c>
      <c r="K38" s="117">
        <f>(E38-E33-D5-D6)*K4+E33+D5+D6</f>
        <v>690.5</v>
      </c>
      <c r="M38">
        <f>'დიაგნოსტიკა თანაგადახდის გარეშე'!D38</f>
        <v>840.5</v>
      </c>
      <c r="N38" s="109">
        <f>'დიაგნოსტიკა თანაგადახდის გარეშე'!E38:E39</f>
        <v>800.5</v>
      </c>
    </row>
    <row r="39" spans="1:14" x14ac:dyDescent="0.25">
      <c r="A39" s="123"/>
      <c r="B39" s="118"/>
      <c r="C39" s="4" t="s">
        <v>25</v>
      </c>
      <c r="D39" s="40">
        <f>E10+E27+E33</f>
        <v>650.5</v>
      </c>
      <c r="E39" s="116"/>
      <c r="F39" s="1"/>
      <c r="G39" s="117"/>
      <c r="H39" s="117"/>
      <c r="I39" s="1"/>
      <c r="J39" s="117"/>
      <c r="K39" s="117"/>
      <c r="M39">
        <f>'დიაგნოსტიკა თანაგადახდის გარეშე'!D39</f>
        <v>760.5</v>
      </c>
      <c r="N39" s="109"/>
    </row>
    <row r="40" spans="1:14" x14ac:dyDescent="0.25">
      <c r="A40" s="123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4" x14ac:dyDescent="0.25">
      <c r="A41" s="123"/>
      <c r="B41" s="41" t="s">
        <v>102</v>
      </c>
      <c r="C41" s="4" t="s">
        <v>104</v>
      </c>
      <c r="D41" s="40">
        <f>E15+E30+E33</f>
        <v>599.5</v>
      </c>
      <c r="E41" s="42">
        <f>AVERAGE(D41:D41)</f>
        <v>599.5</v>
      </c>
      <c r="F41" s="1"/>
      <c r="G41" s="40">
        <f>(E41-E33-D5-D6)*G4</f>
        <v>0</v>
      </c>
      <c r="H41" s="40">
        <f>(E41-E33-D5-D6)*H4</f>
        <v>0</v>
      </c>
      <c r="I41" s="1"/>
      <c r="J41" s="40">
        <f>(E41-E33-D5-D6)*J4+E33+D5+D6</f>
        <v>599.5</v>
      </c>
      <c r="K41" s="40">
        <f>(E41-E33-D5-D6)*K4+E33+D5+D6</f>
        <v>599.5</v>
      </c>
      <c r="M41">
        <f>'დიაგნოსტიკა თანაგადახდის გარეშე'!D41</f>
        <v>599.5</v>
      </c>
      <c r="N41">
        <f>'დიაგნოსტიკა თანაგადახდის გარეშე'!E41</f>
        <v>599.5</v>
      </c>
    </row>
    <row r="42" spans="1:14" x14ac:dyDescent="0.25">
      <c r="A42" s="123"/>
      <c r="B42" s="93"/>
      <c r="C42" s="94"/>
      <c r="D42" s="95"/>
      <c r="E42" s="93"/>
      <c r="F42" s="1"/>
      <c r="G42" s="95"/>
      <c r="H42" s="95"/>
      <c r="I42" s="1"/>
      <c r="J42" s="40"/>
      <c r="K42" s="95"/>
    </row>
    <row r="43" spans="1:14" x14ac:dyDescent="0.25">
      <c r="A43" s="123"/>
      <c r="B43" s="41" t="s">
        <v>103</v>
      </c>
      <c r="C43" s="4" t="s">
        <v>105</v>
      </c>
      <c r="D43" s="40">
        <f>E20+E30+E33</f>
        <v>519.5</v>
      </c>
      <c r="E43" s="42">
        <f>AVERAGE(D43:D43)</f>
        <v>519.5</v>
      </c>
      <c r="F43" s="1"/>
      <c r="G43" s="40">
        <f>(E43-E33-D5-D6)*G4</f>
        <v>0</v>
      </c>
      <c r="H43" s="40">
        <f>(E43-E33-D5-D6)*H4</f>
        <v>0</v>
      </c>
      <c r="I43" s="1"/>
      <c r="J43" s="40">
        <f>(E43-E33-D5-D6)*J4+E33+D5+D6</f>
        <v>519.5</v>
      </c>
      <c r="K43" s="40">
        <f>(E43-E33-D5-D6)*K4+D5+D6+E33</f>
        <v>519.5</v>
      </c>
      <c r="M43">
        <f>'დიაგნოსტიკა თანაგადახდის გარეშე'!D43</f>
        <v>519.5</v>
      </c>
      <c r="N43">
        <f>'დიაგნოსტიკა თანაგადახდის გარეშე'!E43</f>
        <v>519.5</v>
      </c>
    </row>
    <row r="44" spans="1:14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4" x14ac:dyDescent="0.25">
      <c r="F45" s="1"/>
      <c r="G45" s="121" t="s">
        <v>26</v>
      </c>
      <c r="H45" s="121"/>
      <c r="I45" s="1"/>
      <c r="J45" s="121" t="s">
        <v>27</v>
      </c>
      <c r="K45" s="121"/>
    </row>
    <row r="46" spans="1:14" ht="9" customHeight="1" x14ac:dyDescent="0.25">
      <c r="F46" s="1"/>
      <c r="G46" s="39" t="s">
        <v>3</v>
      </c>
      <c r="H46" s="39" t="s">
        <v>4</v>
      </c>
      <c r="I46" s="1"/>
      <c r="J46" s="39" t="s">
        <v>3</v>
      </c>
      <c r="K46" s="39" t="s">
        <v>4</v>
      </c>
    </row>
    <row r="47" spans="1:14" ht="21" customHeight="1" x14ac:dyDescent="0.25">
      <c r="A47" s="125" t="s">
        <v>19</v>
      </c>
      <c r="B47" s="40" t="s">
        <v>20</v>
      </c>
      <c r="C47" s="127" t="s">
        <v>28</v>
      </c>
      <c r="D47" s="128"/>
      <c r="E47" s="40">
        <f>E35</f>
        <v>631.5</v>
      </c>
      <c r="F47" s="1"/>
      <c r="G47" s="40">
        <f>E47*G4</f>
        <v>0</v>
      </c>
      <c r="H47" s="40">
        <f>E47*H4</f>
        <v>0</v>
      </c>
      <c r="I47" s="1"/>
      <c r="J47" s="40">
        <f>E47-G47</f>
        <v>631.5</v>
      </c>
      <c r="K47" s="40">
        <f>E47-H47</f>
        <v>631.5</v>
      </c>
    </row>
    <row r="48" spans="1:14" ht="29.25" customHeight="1" x14ac:dyDescent="0.25">
      <c r="A48" s="126"/>
      <c r="B48" s="40" t="s">
        <v>23</v>
      </c>
      <c r="C48" s="127" t="s">
        <v>29</v>
      </c>
      <c r="D48" s="128"/>
      <c r="E48" s="40">
        <f>E38</f>
        <v>690.5</v>
      </c>
      <c r="F48" s="1"/>
      <c r="G48" s="40">
        <f>E48*G4</f>
        <v>0</v>
      </c>
      <c r="H48" s="40">
        <f>E48*H4</f>
        <v>0</v>
      </c>
      <c r="I48" s="1"/>
      <c r="J48" s="40">
        <f>E48-G48</f>
        <v>690.5</v>
      </c>
      <c r="K48" s="40">
        <f>E48-H48</f>
        <v>690.5</v>
      </c>
    </row>
    <row r="49" spans="1:15" ht="33.75" customHeight="1" x14ac:dyDescent="0.25">
      <c r="A49" s="126"/>
      <c r="B49" s="40" t="s">
        <v>102</v>
      </c>
      <c r="C49" s="117" t="s">
        <v>28</v>
      </c>
      <c r="D49" s="117"/>
      <c r="E49" s="40">
        <f>AVERAGE(E41,E43)</f>
        <v>559.5</v>
      </c>
      <c r="F49" s="1"/>
      <c r="G49" s="40">
        <f>E49*G4</f>
        <v>0</v>
      </c>
      <c r="H49" s="40">
        <f>E49*H4</f>
        <v>0</v>
      </c>
      <c r="I49" s="1"/>
      <c r="J49" s="40">
        <f>H49</f>
        <v>0</v>
      </c>
      <c r="K49" s="40">
        <f>G49</f>
        <v>0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2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30"/>
      <c r="B52" s="21" t="s">
        <v>32</v>
      </c>
      <c r="C52" s="40">
        <v>25000</v>
      </c>
      <c r="D52" s="40">
        <f>C52*10%</f>
        <v>2500</v>
      </c>
      <c r="E52" s="40">
        <f>C52*90%</f>
        <v>22500</v>
      </c>
    </row>
    <row r="53" spans="1:15" ht="36" customHeight="1" x14ac:dyDescent="0.25">
      <c r="A53" s="130"/>
      <c r="B53" s="21" t="s">
        <v>28</v>
      </c>
      <c r="C53" s="40">
        <f>C52*60%</f>
        <v>15000</v>
      </c>
      <c r="D53" s="40">
        <f>D52*60%</f>
        <v>1500</v>
      </c>
      <c r="E53" s="40">
        <f>E52*60%</f>
        <v>13500</v>
      </c>
      <c r="H53" s="22"/>
      <c r="M53" s="23"/>
    </row>
    <row r="54" spans="1:15" ht="34.5" x14ac:dyDescent="0.25">
      <c r="A54" s="130"/>
      <c r="B54" s="21" t="s">
        <v>29</v>
      </c>
      <c r="C54" s="40">
        <f>C52*10%</f>
        <v>2500</v>
      </c>
      <c r="D54" s="40">
        <f>D52*10%</f>
        <v>250</v>
      </c>
      <c r="E54" s="40">
        <f>E52*10%</f>
        <v>2250</v>
      </c>
      <c r="H54" s="23"/>
    </row>
    <row r="55" spans="1:15" ht="23.25" x14ac:dyDescent="0.25">
      <c r="A55" s="130"/>
      <c r="B55" s="21" t="s">
        <v>106</v>
      </c>
      <c r="C55" s="40">
        <f>C52*30%</f>
        <v>7500</v>
      </c>
      <c r="D55" s="40">
        <f>D52*30%</f>
        <v>750</v>
      </c>
      <c r="E55" s="40">
        <f>E52*30%</f>
        <v>6750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3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31"/>
      <c r="B58" s="25" t="s">
        <v>28</v>
      </c>
      <c r="C58" s="26">
        <f>D58+E58</f>
        <v>0</v>
      </c>
      <c r="D58" s="27">
        <f t="shared" ref="D58:E60" si="0">D53*G47</f>
        <v>0</v>
      </c>
      <c r="E58" s="27">
        <f t="shared" si="0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31"/>
      <c r="B59" s="25" t="s">
        <v>29</v>
      </c>
      <c r="C59" s="26">
        <f>D59+E59</f>
        <v>0</v>
      </c>
      <c r="D59" s="27">
        <f t="shared" si="0"/>
        <v>0</v>
      </c>
      <c r="E59" s="27">
        <f t="shared" si="0"/>
        <v>0</v>
      </c>
      <c r="G59" s="23"/>
      <c r="H59" s="23"/>
      <c r="J59" s="23"/>
      <c r="K59" s="28"/>
      <c r="L59" s="23"/>
    </row>
    <row r="60" spans="1:15" ht="23.25" x14ac:dyDescent="0.25">
      <c r="A60" s="131"/>
      <c r="B60" s="25" t="s">
        <v>106</v>
      </c>
      <c r="C60" s="26">
        <f>D60+E60</f>
        <v>0</v>
      </c>
      <c r="D60" s="27">
        <f t="shared" si="0"/>
        <v>0</v>
      </c>
      <c r="E60" s="27">
        <f t="shared" si="0"/>
        <v>0</v>
      </c>
      <c r="G60" s="23"/>
      <c r="H60" s="23"/>
      <c r="J60" s="23"/>
      <c r="K60" s="28"/>
      <c r="L60" s="23"/>
    </row>
    <row r="61" spans="1:15" x14ac:dyDescent="0.25">
      <c r="A61" s="131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14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14"/>
      <c r="B64" s="25" t="s">
        <v>28</v>
      </c>
      <c r="C64" s="26">
        <f>D64+E64</f>
        <v>9472500</v>
      </c>
      <c r="D64" s="27">
        <f>D53*J47</f>
        <v>947250</v>
      </c>
      <c r="E64" s="27">
        <f t="shared" ref="D64:E66" si="1">E53*K47</f>
        <v>8525250</v>
      </c>
      <c r="G64" s="29"/>
      <c r="H64" s="23"/>
      <c r="J64" s="29"/>
      <c r="L64" s="23"/>
      <c r="M64" s="23"/>
      <c r="O64" s="23"/>
    </row>
    <row r="65" spans="1:15" ht="34.5" x14ac:dyDescent="0.25">
      <c r="A65" s="114"/>
      <c r="B65" s="25" t="s">
        <v>29</v>
      </c>
      <c r="C65" s="26">
        <f>D65+E65</f>
        <v>1726250</v>
      </c>
      <c r="D65" s="27">
        <f t="shared" si="1"/>
        <v>172625</v>
      </c>
      <c r="E65" s="27">
        <f t="shared" si="1"/>
        <v>1553625</v>
      </c>
      <c r="G65" s="29"/>
      <c r="H65" s="23"/>
      <c r="J65" s="29"/>
      <c r="L65" s="29"/>
      <c r="M65" s="29"/>
      <c r="O65" s="23"/>
    </row>
    <row r="66" spans="1:15" ht="23.25" x14ac:dyDescent="0.25">
      <c r="A66" s="114"/>
      <c r="B66" s="25" t="s">
        <v>106</v>
      </c>
      <c r="C66" s="26">
        <f>D66+E66</f>
        <v>0</v>
      </c>
      <c r="D66" s="27">
        <f t="shared" si="1"/>
        <v>0</v>
      </c>
      <c r="E66" s="27">
        <f t="shared" si="1"/>
        <v>0</v>
      </c>
      <c r="G66" s="29"/>
      <c r="H66" s="23"/>
      <c r="J66" s="29"/>
      <c r="L66" s="29"/>
      <c r="M66" s="29"/>
      <c r="O66" s="23"/>
    </row>
    <row r="67" spans="1:15" ht="23.25" x14ac:dyDescent="0.25">
      <c r="A67" s="114"/>
      <c r="B67" s="30" t="s">
        <v>37</v>
      </c>
      <c r="C67" s="31">
        <f>C64+C65+C66</f>
        <v>11198750</v>
      </c>
      <c r="D67" s="32">
        <f>D64+D65+D66</f>
        <v>1119875</v>
      </c>
      <c r="E67" s="32">
        <f>E64+E65+E66</f>
        <v>10078875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14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14"/>
      <c r="B69" s="30" t="s">
        <v>38</v>
      </c>
      <c r="C69" s="31">
        <f>C52*50</f>
        <v>1250000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14"/>
      <c r="B70" s="30" t="s">
        <v>35</v>
      </c>
      <c r="C70" s="35">
        <f>C67+C69+E73</f>
        <v>12880750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7200</v>
      </c>
      <c r="D73">
        <v>60</v>
      </c>
      <c r="E73">
        <f>C73*D73</f>
        <v>432000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13312750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13312750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2">
    <mergeCell ref="A63:A70"/>
    <mergeCell ref="A47:A49"/>
    <mergeCell ref="C47:D47"/>
    <mergeCell ref="C48:D48"/>
    <mergeCell ref="C49:D49"/>
    <mergeCell ref="A51:A55"/>
    <mergeCell ref="A57:A61"/>
    <mergeCell ref="E38:E39"/>
    <mergeCell ref="G38:G39"/>
    <mergeCell ref="H38:H39"/>
    <mergeCell ref="J38:J39"/>
    <mergeCell ref="K38:K39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H30:H31"/>
    <mergeCell ref="B20:B22"/>
    <mergeCell ref="E20:E22"/>
    <mergeCell ref="G20:G22"/>
    <mergeCell ref="H20:H22"/>
    <mergeCell ref="B15:B17"/>
    <mergeCell ref="E15:E17"/>
    <mergeCell ref="G15:G17"/>
    <mergeCell ref="H15:H17"/>
    <mergeCell ref="J15:J17"/>
    <mergeCell ref="H10:H12"/>
    <mergeCell ref="J10:J12"/>
    <mergeCell ref="K10:K12"/>
    <mergeCell ref="J20:J22"/>
    <mergeCell ref="K20:K22"/>
    <mergeCell ref="K15:K17"/>
    <mergeCell ref="N35:N36"/>
    <mergeCell ref="N38:N39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B50" workbookViewId="0">
      <selection activeCell="H77" sqref="H77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x14ac:dyDescent="0.25">
      <c r="F2" s="1"/>
      <c r="G2" s="111" t="s">
        <v>1</v>
      </c>
      <c r="H2" s="111"/>
      <c r="I2" s="1"/>
      <c r="J2" s="111" t="s">
        <v>2</v>
      </c>
      <c r="K2" s="111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2" t="s">
        <v>5</v>
      </c>
      <c r="E4" s="113"/>
      <c r="F4" s="1"/>
      <c r="G4" s="3">
        <v>0</v>
      </c>
      <c r="H4" s="3">
        <v>0.7</v>
      </c>
      <c r="I4" s="1"/>
      <c r="J4" s="3">
        <v>1</v>
      </c>
      <c r="K4" s="3">
        <v>0.3</v>
      </c>
    </row>
    <row r="5" spans="1:11" x14ac:dyDescent="0.25">
      <c r="A5" s="114" t="s">
        <v>6</v>
      </c>
      <c r="B5" s="115" t="s">
        <v>97</v>
      </c>
      <c r="C5" s="4" t="s">
        <v>7</v>
      </c>
      <c r="D5" s="40">
        <f>'მკურნალობაში ჩართვა-სტანდარტული'!I4</f>
        <v>60</v>
      </c>
      <c r="E5" s="116">
        <f>D5+D7+D6</f>
        <v>429</v>
      </c>
      <c r="F5" s="1"/>
      <c r="G5" s="117">
        <f>(E5-D5-D6)*$G$4</f>
        <v>0</v>
      </c>
      <c r="H5" s="117">
        <f>(E5-D5-D6)*$H$4</f>
        <v>160.29999999999998</v>
      </c>
      <c r="I5" s="1"/>
      <c r="J5" s="117">
        <f>(E5-D5-D6)*$J$4+D5+D6</f>
        <v>429</v>
      </c>
      <c r="K5" s="117">
        <f>(E5-D5-D6)*$K$4+D5+D6</f>
        <v>268.7</v>
      </c>
    </row>
    <row r="6" spans="1:11" x14ac:dyDescent="0.25">
      <c r="A6" s="114"/>
      <c r="B6" s="115"/>
      <c r="C6" s="4" t="s">
        <v>9</v>
      </c>
      <c r="D6" s="40">
        <f>'მკურნალობაში ჩართვა-სტანდარტული'!I5</f>
        <v>140</v>
      </c>
      <c r="E6" s="116"/>
      <c r="F6" s="1"/>
      <c r="G6" s="117"/>
      <c r="H6" s="117"/>
      <c r="I6" s="1"/>
      <c r="J6" s="117"/>
      <c r="K6" s="117"/>
    </row>
    <row r="7" spans="1:11" x14ac:dyDescent="0.25">
      <c r="A7" s="114"/>
      <c r="B7" s="115"/>
      <c r="C7" s="4" t="s">
        <v>8</v>
      </c>
      <c r="D7" s="40">
        <f>'მკურნალობაში ჩართვა-სტანდარტული'!I6</f>
        <v>229</v>
      </c>
      <c r="E7" s="116"/>
      <c r="F7" s="1"/>
      <c r="G7" s="117"/>
      <c r="H7" s="117"/>
      <c r="I7" s="1"/>
      <c r="J7" s="117"/>
      <c r="K7" s="117"/>
    </row>
    <row r="8" spans="1:11" x14ac:dyDescent="0.25">
      <c r="A8" s="114"/>
      <c r="E8" s="9"/>
      <c r="F8" s="1"/>
      <c r="I8" s="1"/>
    </row>
    <row r="9" spans="1:11" x14ac:dyDescent="0.25">
      <c r="A9" s="114"/>
      <c r="D9" s="8"/>
      <c r="E9" s="9"/>
      <c r="F9" s="1"/>
      <c r="I9" s="1"/>
    </row>
    <row r="10" spans="1:11" x14ac:dyDescent="0.25">
      <c r="A10" s="114"/>
      <c r="B10" s="115" t="s">
        <v>98</v>
      </c>
      <c r="C10" s="4" t="s">
        <v>7</v>
      </c>
      <c r="D10" s="40">
        <f>'მკურნალობაში ჩართვა-სტანდარტული'!I12</f>
        <v>60</v>
      </c>
      <c r="E10" s="116">
        <f>D10+D12+D11</f>
        <v>349</v>
      </c>
      <c r="F10" s="1"/>
      <c r="G10" s="117">
        <f>(E10-D10-D11)*$G$4</f>
        <v>0</v>
      </c>
      <c r="H10" s="117">
        <f>(E10-D10-D11)*$H$4</f>
        <v>104.3</v>
      </c>
      <c r="I10" s="1"/>
      <c r="J10" s="117">
        <f>(E10-D10-D11)*$J$4+D10+D11</f>
        <v>349</v>
      </c>
      <c r="K10" s="117">
        <f>(E10-D10-D11)*$K$4+D10+D11</f>
        <v>244.7</v>
      </c>
    </row>
    <row r="11" spans="1:11" x14ac:dyDescent="0.25">
      <c r="A11" s="114"/>
      <c r="B11" s="115"/>
      <c r="C11" s="4" t="s">
        <v>9</v>
      </c>
      <c r="D11" s="40">
        <f>'მკურნალობაში ჩართვა-სტანდარტული'!I13</f>
        <v>140</v>
      </c>
      <c r="E11" s="116"/>
      <c r="F11" s="1"/>
      <c r="G11" s="117"/>
      <c r="H11" s="117"/>
      <c r="I11" s="1"/>
      <c r="J11" s="117"/>
      <c r="K11" s="117"/>
    </row>
    <row r="12" spans="1:11" x14ac:dyDescent="0.25">
      <c r="A12" s="114"/>
      <c r="B12" s="115"/>
      <c r="C12" s="4" t="s">
        <v>10</v>
      </c>
      <c r="D12" s="40">
        <f>'მკურნალობაში ჩართვა-სტანდარტული'!I14</f>
        <v>149</v>
      </c>
      <c r="E12" s="116"/>
      <c r="F12" s="1"/>
      <c r="G12" s="117"/>
      <c r="H12" s="117"/>
      <c r="I12" s="1"/>
      <c r="J12" s="117"/>
      <c r="K12" s="117"/>
    </row>
    <row r="13" spans="1:11" x14ac:dyDescent="0.25">
      <c r="A13" s="114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14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14"/>
      <c r="B15" s="118" t="s">
        <v>99</v>
      </c>
      <c r="C15" s="4" t="s">
        <v>7</v>
      </c>
      <c r="D15" s="40">
        <f>'მკურნალობაში ჩართვა-პჯდ'!I4</f>
        <v>60</v>
      </c>
      <c r="E15" s="116">
        <f>D15+D17+D16</f>
        <v>381</v>
      </c>
      <c r="F15" s="1"/>
      <c r="G15" s="117">
        <f>(E15-D15-D16)*$G$4</f>
        <v>0</v>
      </c>
      <c r="H15" s="117">
        <f>(E15-D15-D16)*$H$4</f>
        <v>126.69999999999999</v>
      </c>
      <c r="I15" s="1"/>
      <c r="J15" s="117">
        <f>(E15-D15-D16)*$J$4+D15+D16</f>
        <v>381</v>
      </c>
      <c r="K15" s="117">
        <f>(E15-D15-D16)*$K$4+D15+D16</f>
        <v>254.3</v>
      </c>
    </row>
    <row r="16" spans="1:11" x14ac:dyDescent="0.25">
      <c r="A16" s="114"/>
      <c r="B16" s="118"/>
      <c r="C16" s="4" t="s">
        <v>9</v>
      </c>
      <c r="D16" s="40">
        <f>'მკურნალობაში ჩართვა-პჯდ'!I5</f>
        <v>140</v>
      </c>
      <c r="E16" s="116"/>
      <c r="F16" s="1"/>
      <c r="G16" s="117"/>
      <c r="H16" s="117"/>
      <c r="I16" s="1"/>
      <c r="J16" s="117"/>
      <c r="K16" s="117"/>
    </row>
    <row r="17" spans="1:11" x14ac:dyDescent="0.25">
      <c r="A17" s="114"/>
      <c r="B17" s="118"/>
      <c r="C17" s="4" t="s">
        <v>8</v>
      </c>
      <c r="D17" s="40">
        <f>'მკურნალობაში ჩართვა-პჯდ'!I6</f>
        <v>181</v>
      </c>
      <c r="E17" s="116"/>
      <c r="F17" s="1"/>
      <c r="G17" s="117"/>
      <c r="H17" s="117"/>
      <c r="I17" s="1"/>
      <c r="J17" s="117"/>
      <c r="K17" s="117"/>
    </row>
    <row r="18" spans="1:11" x14ac:dyDescent="0.25">
      <c r="A18" s="114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14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14"/>
      <c r="B20" s="118" t="s">
        <v>100</v>
      </c>
      <c r="C20" s="4" t="s">
        <v>7</v>
      </c>
      <c r="D20" s="40">
        <f>'მკურნალობაში ჩართვა-პჯდ'!I12</f>
        <v>60</v>
      </c>
      <c r="E20" s="116">
        <f>D20+D22+D21</f>
        <v>301</v>
      </c>
      <c r="F20" s="1"/>
      <c r="G20" s="117">
        <f>(E20-D20-D21)*$G$4</f>
        <v>0</v>
      </c>
      <c r="H20" s="117">
        <f>(E20-D20-D21)*$H$4</f>
        <v>70.699999999999989</v>
      </c>
      <c r="I20" s="1"/>
      <c r="J20" s="117">
        <f>(E20-D20-D21)*$J$4+D20+D21</f>
        <v>301</v>
      </c>
      <c r="K20" s="117">
        <f>(E20-D20-D21)*$K$4+D20+D21</f>
        <v>230.3</v>
      </c>
    </row>
    <row r="21" spans="1:11" x14ac:dyDescent="0.25">
      <c r="A21" s="114"/>
      <c r="B21" s="118"/>
      <c r="C21" s="4" t="s">
        <v>9</v>
      </c>
      <c r="D21" s="40">
        <f>'მკურნალობაში ჩართვა-პჯდ'!I13</f>
        <v>140</v>
      </c>
      <c r="E21" s="116"/>
      <c r="F21" s="1"/>
      <c r="G21" s="117"/>
      <c r="H21" s="117"/>
      <c r="I21" s="1"/>
      <c r="J21" s="117"/>
      <c r="K21" s="117"/>
    </row>
    <row r="22" spans="1:11" x14ac:dyDescent="0.25">
      <c r="A22" s="114"/>
      <c r="B22" s="118"/>
      <c r="C22" s="4" t="s">
        <v>8</v>
      </c>
      <c r="D22" s="40">
        <f>'მკურნალობაში ჩართვა-პჯდ'!I14</f>
        <v>101</v>
      </c>
      <c r="E22" s="116"/>
      <c r="F22" s="1"/>
      <c r="G22" s="117"/>
      <c r="H22" s="117"/>
      <c r="I22" s="1"/>
      <c r="J22" s="117"/>
      <c r="K22" s="117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14"/>
      <c r="B24" s="118" t="s">
        <v>11</v>
      </c>
      <c r="C24" s="10" t="s">
        <v>12</v>
      </c>
      <c r="D24" s="40">
        <f>'მონიტორინგი-სტანდარტული'!I10-110</f>
        <v>117</v>
      </c>
      <c r="E24" s="116">
        <f>AVERAGE(D24:D25)</f>
        <v>112.5</v>
      </c>
      <c r="F24" s="1"/>
      <c r="G24" s="119">
        <v>0</v>
      </c>
      <c r="H24" s="119">
        <f>E24*70%</f>
        <v>78.75</v>
      </c>
      <c r="I24" s="1"/>
      <c r="J24" s="119">
        <f>E24*100%</f>
        <v>112.5</v>
      </c>
      <c r="K24" s="119">
        <f>E24*30%</f>
        <v>33.75</v>
      </c>
    </row>
    <row r="25" spans="1:11" x14ac:dyDescent="0.25">
      <c r="A25" s="114"/>
      <c r="B25" s="118"/>
      <c r="C25" s="11" t="s">
        <v>13</v>
      </c>
      <c r="D25" s="40">
        <f>'მონიტორინგი-სტანდარტული'!I22-110</f>
        <v>108</v>
      </c>
      <c r="E25" s="116"/>
      <c r="F25" s="1"/>
      <c r="G25" s="120"/>
      <c r="H25" s="120"/>
      <c r="I25" s="1"/>
      <c r="J25" s="120"/>
      <c r="K25" s="120"/>
    </row>
    <row r="26" spans="1:11" x14ac:dyDescent="0.25">
      <c r="A26" s="114"/>
      <c r="E26" s="9"/>
      <c r="F26" s="1"/>
      <c r="I26" s="1"/>
    </row>
    <row r="27" spans="1:11" x14ac:dyDescent="0.25">
      <c r="A27" s="114"/>
      <c r="B27" s="118" t="s">
        <v>14</v>
      </c>
      <c r="C27" s="10" t="s">
        <v>15</v>
      </c>
      <c r="D27" s="40">
        <f>'მონიტორინგი-სტანდარტული'!K36-110</f>
        <v>176</v>
      </c>
      <c r="E27" s="116">
        <f>AVERAGE(D27:D28)</f>
        <v>171.5</v>
      </c>
      <c r="F27" s="1"/>
      <c r="G27" s="117">
        <v>0</v>
      </c>
      <c r="H27" s="117">
        <f>E27*70%</f>
        <v>120.05</v>
      </c>
      <c r="I27" s="1"/>
      <c r="J27" s="117">
        <f>E27*100%</f>
        <v>171.5</v>
      </c>
      <c r="K27" s="117">
        <f>E27*30%</f>
        <v>51.449999999999996</v>
      </c>
    </row>
    <row r="28" spans="1:11" x14ac:dyDescent="0.25">
      <c r="A28" s="114"/>
      <c r="B28" s="118"/>
      <c r="C28" s="11" t="s">
        <v>16</v>
      </c>
      <c r="D28" s="40">
        <f>'მონიტორინგი-სტანდარტული'!K49-110</f>
        <v>167</v>
      </c>
      <c r="E28" s="116"/>
      <c r="F28" s="1"/>
      <c r="G28" s="117"/>
      <c r="H28" s="117"/>
      <c r="I28" s="1"/>
      <c r="J28" s="117"/>
      <c r="K28" s="117"/>
    </row>
    <row r="29" spans="1:11" x14ac:dyDescent="0.25">
      <c r="A29" s="114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14"/>
      <c r="B30" s="124" t="s">
        <v>101</v>
      </c>
      <c r="C30" s="10" t="s">
        <v>12</v>
      </c>
      <c r="D30" s="40">
        <f>'მონიტორინგი-პჯდ'!I7</f>
        <v>102</v>
      </c>
      <c r="E30" s="116">
        <f>AVERAGE(D30:D31)</f>
        <v>88.5</v>
      </c>
      <c r="F30" s="1"/>
      <c r="G30" s="117">
        <v>0</v>
      </c>
      <c r="H30" s="117">
        <f>E30*70%</f>
        <v>61.949999999999996</v>
      </c>
      <c r="I30" s="1"/>
      <c r="J30" s="117">
        <f>E30*100%</f>
        <v>88.5</v>
      </c>
      <c r="K30" s="117">
        <f>E30*30%</f>
        <v>26.55</v>
      </c>
    </row>
    <row r="31" spans="1:11" x14ac:dyDescent="0.25">
      <c r="A31" s="114"/>
      <c r="B31" s="124"/>
      <c r="C31" s="10" t="s">
        <v>13</v>
      </c>
      <c r="D31" s="96">
        <f>'მონიტორინგი-პჯდ'!I16</f>
        <v>75</v>
      </c>
      <c r="E31" s="116"/>
      <c r="F31" s="1"/>
      <c r="G31" s="117"/>
      <c r="H31" s="117"/>
      <c r="I31" s="1"/>
      <c r="J31" s="117"/>
      <c r="K31" s="117"/>
    </row>
    <row r="32" spans="1:11" x14ac:dyDescent="0.25">
      <c r="A32" s="114"/>
      <c r="C32" s="11"/>
      <c r="E32" s="9"/>
      <c r="F32" s="1"/>
      <c r="I32" s="1"/>
    </row>
    <row r="33" spans="1:11" x14ac:dyDescent="0.25">
      <c r="A33" s="114"/>
      <c r="B33" s="41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43">
        <v>130</v>
      </c>
      <c r="F33" s="1"/>
      <c r="G33" s="40">
        <v>0</v>
      </c>
      <c r="H33" s="40">
        <v>0</v>
      </c>
      <c r="I33" s="1"/>
      <c r="J33" s="40">
        <f>E33</f>
        <v>130</v>
      </c>
      <c r="K33" s="40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22" t="s">
        <v>19</v>
      </c>
      <c r="B35" s="118" t="s">
        <v>20</v>
      </c>
      <c r="C35" s="4" t="s">
        <v>21</v>
      </c>
      <c r="D35" s="40">
        <f>E5+E24+E33</f>
        <v>671.5</v>
      </c>
      <c r="E35" s="116">
        <f>AVERAGE(D35:D36)</f>
        <v>631.5</v>
      </c>
      <c r="F35" s="1"/>
      <c r="G35" s="117">
        <f>(E35-E33-D5-D6)*G4</f>
        <v>0</v>
      </c>
      <c r="H35" s="117">
        <f>(E35-E33-D5-D6)*H4</f>
        <v>211.04999999999998</v>
      </c>
      <c r="I35" s="1"/>
      <c r="J35" s="117">
        <f>(E35-E33-D5-D6)*J4+E33+D5+D6</f>
        <v>631.5</v>
      </c>
      <c r="K35" s="117">
        <f>(E35-E33-D5-D6)*K4+E33+D5+D6</f>
        <v>420.45</v>
      </c>
    </row>
    <row r="36" spans="1:11" x14ac:dyDescent="0.25">
      <c r="A36" s="123"/>
      <c r="B36" s="118"/>
      <c r="C36" s="4" t="s">
        <v>22</v>
      </c>
      <c r="D36" s="40">
        <f>E10+E24+E33</f>
        <v>591.5</v>
      </c>
      <c r="E36" s="116"/>
      <c r="F36" s="1"/>
      <c r="G36" s="117"/>
      <c r="H36" s="117"/>
      <c r="I36" s="1"/>
      <c r="J36" s="117"/>
      <c r="K36" s="117"/>
    </row>
    <row r="37" spans="1:11" x14ac:dyDescent="0.25">
      <c r="A37" s="123"/>
      <c r="B37" s="9"/>
      <c r="D37" s="8"/>
      <c r="E37" s="9"/>
      <c r="F37" s="1"/>
      <c r="I37" s="1"/>
    </row>
    <row r="38" spans="1:11" x14ac:dyDescent="0.25">
      <c r="A38" s="123"/>
      <c r="B38" s="118" t="s">
        <v>23</v>
      </c>
      <c r="C38" s="4" t="s">
        <v>24</v>
      </c>
      <c r="D38" s="40">
        <f>E5+E27+E33</f>
        <v>730.5</v>
      </c>
      <c r="E38" s="116">
        <f>AVERAGE(D38:D39)</f>
        <v>690.5</v>
      </c>
      <c r="F38" s="1"/>
      <c r="G38" s="117">
        <f>(E38-E33-D5-D6)*G4</f>
        <v>0</v>
      </c>
      <c r="H38" s="117">
        <f>(E38-E33-D5-D6)*H4</f>
        <v>252.35</v>
      </c>
      <c r="I38" s="1"/>
      <c r="J38" s="117">
        <f>(E38-E33-D5-D6)*J4+E33+D5+D6</f>
        <v>690.5</v>
      </c>
      <c r="K38" s="117">
        <f>(E38-E33-D5-D6)*K4+E33+D5+D6</f>
        <v>438.15</v>
      </c>
    </row>
    <row r="39" spans="1:11" x14ac:dyDescent="0.25">
      <c r="A39" s="123"/>
      <c r="B39" s="118"/>
      <c r="C39" s="4" t="s">
        <v>25</v>
      </c>
      <c r="D39" s="40">
        <f>E10+E27+E33</f>
        <v>650.5</v>
      </c>
      <c r="E39" s="116"/>
      <c r="F39" s="1"/>
      <c r="G39" s="117"/>
      <c r="H39" s="117"/>
      <c r="I39" s="1"/>
      <c r="J39" s="117"/>
      <c r="K39" s="117"/>
    </row>
    <row r="40" spans="1:11" x14ac:dyDescent="0.25">
      <c r="A40" s="123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23"/>
      <c r="B41" s="41" t="s">
        <v>102</v>
      </c>
      <c r="C41" s="4" t="s">
        <v>104</v>
      </c>
      <c r="D41" s="40">
        <f>E15+E30+E33</f>
        <v>599.5</v>
      </c>
      <c r="E41" s="42">
        <f>AVERAGE(D41:D41)</f>
        <v>599.5</v>
      </c>
      <c r="F41" s="1"/>
      <c r="G41" s="40">
        <f>(E41-E33-D5-D6)*G4</f>
        <v>0</v>
      </c>
      <c r="H41" s="40">
        <f>(E41-E33-D5-D6)*H4</f>
        <v>188.64999999999998</v>
      </c>
      <c r="I41" s="1"/>
      <c r="J41" s="40">
        <f>(E41-E33-D5-D6)*J4+E33+D5+D6</f>
        <v>599.5</v>
      </c>
      <c r="K41" s="40">
        <f>(E41-E33-D5-D6)*K4+E33+D5+D6</f>
        <v>410.85</v>
      </c>
    </row>
    <row r="42" spans="1:11" x14ac:dyDescent="0.25">
      <c r="A42" s="123"/>
      <c r="B42" s="93"/>
      <c r="C42" s="94"/>
      <c r="D42" s="95"/>
      <c r="E42" s="93"/>
      <c r="F42" s="1"/>
      <c r="G42" s="95"/>
      <c r="H42" s="95"/>
      <c r="I42" s="1"/>
      <c r="J42" s="40"/>
      <c r="K42" s="95"/>
    </row>
    <row r="43" spans="1:11" x14ac:dyDescent="0.25">
      <c r="A43" s="123"/>
      <c r="B43" s="41" t="s">
        <v>103</v>
      </c>
      <c r="C43" s="4" t="s">
        <v>105</v>
      </c>
      <c r="D43" s="40">
        <f>E20+E30+E33</f>
        <v>519.5</v>
      </c>
      <c r="E43" s="42">
        <f>AVERAGE(D43:D43)</f>
        <v>519.5</v>
      </c>
      <c r="F43" s="1"/>
      <c r="G43" s="40">
        <f>(E43-E33-D5-D6)*G4</f>
        <v>0</v>
      </c>
      <c r="H43" s="40">
        <f>(E43-E33-D5-D6)*H4</f>
        <v>132.65</v>
      </c>
      <c r="I43" s="1"/>
      <c r="J43" s="40">
        <f>(E43-E33-D5-D6)*J4+E33+D5+D6</f>
        <v>519.5</v>
      </c>
      <c r="K43" s="40">
        <f>(E43-E33-D5-D6)*K4+D5+D6+E33</f>
        <v>386.85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21" t="s">
        <v>26</v>
      </c>
      <c r="H45" s="121"/>
      <c r="I45" s="1"/>
      <c r="J45" s="121" t="s">
        <v>27</v>
      </c>
      <c r="K45" s="121"/>
    </row>
    <row r="46" spans="1:11" ht="9" customHeight="1" x14ac:dyDescent="0.25">
      <c r="F46" s="1"/>
      <c r="G46" s="39" t="s">
        <v>3</v>
      </c>
      <c r="H46" s="39" t="s">
        <v>4</v>
      </c>
      <c r="I46" s="1"/>
      <c r="J46" s="39" t="s">
        <v>3</v>
      </c>
      <c r="K46" s="39" t="s">
        <v>4</v>
      </c>
    </row>
    <row r="47" spans="1:11" ht="21" customHeight="1" x14ac:dyDescent="0.25">
      <c r="A47" s="125" t="s">
        <v>19</v>
      </c>
      <c r="B47" s="40" t="s">
        <v>20</v>
      </c>
      <c r="C47" s="127" t="s">
        <v>28</v>
      </c>
      <c r="D47" s="128"/>
      <c r="E47" s="40">
        <f>E35</f>
        <v>631.5</v>
      </c>
      <c r="F47" s="1"/>
      <c r="G47" s="40">
        <f>E47*G4</f>
        <v>0</v>
      </c>
      <c r="H47" s="40">
        <f>E47*H4</f>
        <v>442.04999999999995</v>
      </c>
      <c r="I47" s="1"/>
      <c r="J47" s="40">
        <f>E47-G47</f>
        <v>631.5</v>
      </c>
      <c r="K47" s="40">
        <f>E47-H47</f>
        <v>189.45000000000005</v>
      </c>
    </row>
    <row r="48" spans="1:11" ht="29.25" customHeight="1" x14ac:dyDescent="0.25">
      <c r="A48" s="126"/>
      <c r="B48" s="40" t="s">
        <v>23</v>
      </c>
      <c r="C48" s="127" t="s">
        <v>29</v>
      </c>
      <c r="D48" s="128"/>
      <c r="E48" s="40">
        <f>E38</f>
        <v>690.5</v>
      </c>
      <c r="F48" s="1"/>
      <c r="G48" s="40">
        <f>E48*G4</f>
        <v>0</v>
      </c>
      <c r="H48" s="40">
        <f>E48*H4</f>
        <v>483.34999999999997</v>
      </c>
      <c r="I48" s="1"/>
      <c r="J48" s="40">
        <f>E48-G48</f>
        <v>690.5</v>
      </c>
      <c r="K48" s="40">
        <f>E48-H48</f>
        <v>207.15000000000003</v>
      </c>
    </row>
    <row r="49" spans="1:15" ht="33.75" customHeight="1" x14ac:dyDescent="0.25">
      <c r="A49" s="126"/>
      <c r="B49" s="40" t="s">
        <v>102</v>
      </c>
      <c r="C49" s="117" t="s">
        <v>28</v>
      </c>
      <c r="D49" s="117"/>
      <c r="E49" s="40">
        <f>AVERAGE(E41,E43)</f>
        <v>559.5</v>
      </c>
      <c r="F49" s="1"/>
      <c r="G49" s="40">
        <f>E49*G4</f>
        <v>0</v>
      </c>
      <c r="H49" s="40">
        <f>E49*H4</f>
        <v>391.65</v>
      </c>
      <c r="I49" s="1"/>
      <c r="J49" s="40">
        <f>H49</f>
        <v>391.65</v>
      </c>
      <c r="K49" s="40">
        <f>G49</f>
        <v>0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2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30"/>
      <c r="B52" s="21" t="s">
        <v>32</v>
      </c>
      <c r="C52" s="40">
        <v>1000</v>
      </c>
      <c r="D52" s="40">
        <f>C52*10%</f>
        <v>100</v>
      </c>
      <c r="E52" s="40">
        <f>C52*90%</f>
        <v>900</v>
      </c>
    </row>
    <row r="53" spans="1:15" ht="36" customHeight="1" x14ac:dyDescent="0.25">
      <c r="A53" s="130"/>
      <c r="B53" s="21" t="s">
        <v>28</v>
      </c>
      <c r="C53" s="40">
        <f>C52*60%</f>
        <v>600</v>
      </c>
      <c r="D53" s="40">
        <f>D52*60%</f>
        <v>60</v>
      </c>
      <c r="E53" s="40">
        <f>E52*60%</f>
        <v>540</v>
      </c>
      <c r="H53" s="22"/>
      <c r="M53" s="23"/>
    </row>
    <row r="54" spans="1:15" ht="34.5" x14ac:dyDescent="0.25">
      <c r="A54" s="130"/>
      <c r="B54" s="21" t="s">
        <v>29</v>
      </c>
      <c r="C54" s="40">
        <f>C52*10%</f>
        <v>100</v>
      </c>
      <c r="D54" s="40">
        <f>D52*10%</f>
        <v>10</v>
      </c>
      <c r="E54" s="40">
        <f>E52*10%</f>
        <v>90</v>
      </c>
      <c r="H54" s="23"/>
    </row>
    <row r="55" spans="1:15" ht="23.25" x14ac:dyDescent="0.25">
      <c r="A55" s="130"/>
      <c r="B55" s="21" t="s">
        <v>106</v>
      </c>
      <c r="C55" s="40">
        <f>C52*30%</f>
        <v>300</v>
      </c>
      <c r="D55" s="40">
        <f>D52*30%</f>
        <v>30</v>
      </c>
      <c r="E55" s="40">
        <f>E52*30%</f>
        <v>270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3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31"/>
      <c r="B58" s="25" t="s">
        <v>28</v>
      </c>
      <c r="C58" s="26">
        <f>D58+E58</f>
        <v>238706.99999999997</v>
      </c>
      <c r="D58" s="27">
        <f t="shared" ref="D58:E60" si="0">D53*G47</f>
        <v>0</v>
      </c>
      <c r="E58" s="27">
        <f t="shared" si="0"/>
        <v>238706.99999999997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31"/>
      <c r="B59" s="25" t="s">
        <v>29</v>
      </c>
      <c r="C59" s="26">
        <f>D59+E59</f>
        <v>43501.5</v>
      </c>
      <c r="D59" s="27">
        <f t="shared" si="0"/>
        <v>0</v>
      </c>
      <c r="E59" s="27">
        <f t="shared" si="0"/>
        <v>43501.5</v>
      </c>
      <c r="G59" s="23"/>
      <c r="H59" s="23"/>
      <c r="J59" s="23"/>
      <c r="K59" s="28"/>
      <c r="L59" s="23"/>
    </row>
    <row r="60" spans="1:15" ht="23.25" x14ac:dyDescent="0.25">
      <c r="A60" s="131"/>
      <c r="B60" s="25" t="s">
        <v>106</v>
      </c>
      <c r="C60" s="26">
        <f>D60+E60</f>
        <v>105745.5</v>
      </c>
      <c r="D60" s="27">
        <f t="shared" si="0"/>
        <v>0</v>
      </c>
      <c r="E60" s="27">
        <f t="shared" si="0"/>
        <v>105745.5</v>
      </c>
      <c r="G60" s="23"/>
      <c r="H60" s="23"/>
      <c r="J60" s="23"/>
      <c r="K60" s="28"/>
      <c r="L60" s="23"/>
    </row>
    <row r="61" spans="1:15" x14ac:dyDescent="0.25">
      <c r="A61" s="131"/>
      <c r="B61" s="30" t="s">
        <v>35</v>
      </c>
      <c r="C61" s="31">
        <f>C58+C59+C60</f>
        <v>387954</v>
      </c>
      <c r="D61" s="26">
        <f>D58+D59+D60</f>
        <v>0</v>
      </c>
      <c r="E61" s="32">
        <f>E58+E59+E60</f>
        <v>387954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14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14"/>
      <c r="B64" s="25" t="s">
        <v>28</v>
      </c>
      <c r="C64" s="26">
        <f>D64+E64</f>
        <v>140193.00000000003</v>
      </c>
      <c r="D64" s="27">
        <f>D53*J47</f>
        <v>37890</v>
      </c>
      <c r="E64" s="27">
        <f t="shared" ref="D64:E66" si="1">E53*K47</f>
        <v>102303.00000000003</v>
      </c>
      <c r="G64" s="29"/>
      <c r="H64" s="23"/>
      <c r="J64" s="29"/>
      <c r="L64" s="23"/>
      <c r="M64" s="23"/>
      <c r="O64" s="23"/>
    </row>
    <row r="65" spans="1:15" ht="34.5" x14ac:dyDescent="0.25">
      <c r="A65" s="114"/>
      <c r="B65" s="25" t="s">
        <v>29</v>
      </c>
      <c r="C65" s="26">
        <f>D65+E65</f>
        <v>25548.500000000004</v>
      </c>
      <c r="D65" s="27">
        <f t="shared" si="1"/>
        <v>6905</v>
      </c>
      <c r="E65" s="27">
        <f t="shared" si="1"/>
        <v>18643.500000000004</v>
      </c>
      <c r="G65" s="29"/>
      <c r="H65" s="23"/>
      <c r="J65" s="29"/>
      <c r="L65" s="29"/>
      <c r="M65" s="29"/>
      <c r="O65" s="23"/>
    </row>
    <row r="66" spans="1:15" ht="23.25" x14ac:dyDescent="0.25">
      <c r="A66" s="114"/>
      <c r="B66" s="25" t="s">
        <v>106</v>
      </c>
      <c r="C66" s="26">
        <f>D66+E66</f>
        <v>11749.5</v>
      </c>
      <c r="D66" s="27">
        <f t="shared" si="1"/>
        <v>11749.5</v>
      </c>
      <c r="E66" s="27">
        <f t="shared" si="1"/>
        <v>0</v>
      </c>
      <c r="G66" s="29"/>
      <c r="H66" s="23"/>
      <c r="J66" s="29"/>
      <c r="L66" s="29"/>
      <c r="M66" s="29"/>
      <c r="O66" s="23"/>
    </row>
    <row r="67" spans="1:15" ht="23.25" x14ac:dyDescent="0.25">
      <c r="A67" s="114"/>
      <c r="B67" s="30" t="s">
        <v>37</v>
      </c>
      <c r="C67" s="31">
        <f>C64+C65+C66</f>
        <v>177491.00000000003</v>
      </c>
      <c r="D67" s="32">
        <f>D64+D65+D66</f>
        <v>56544.5</v>
      </c>
      <c r="E67" s="32">
        <f>E64+E65+E66</f>
        <v>120946.50000000003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14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14"/>
      <c r="B69" s="30" t="s">
        <v>38</v>
      </c>
      <c r="C69" s="31">
        <f>C52*50</f>
        <v>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14"/>
      <c r="B70" s="30" t="s">
        <v>35</v>
      </c>
      <c r="C70" s="35">
        <f>C67+C69+E73</f>
        <v>305491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1300</v>
      </c>
      <c r="D73">
        <v>60</v>
      </c>
      <c r="E73">
        <f>C73*D73</f>
        <v>78000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771445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383491</v>
      </c>
      <c r="D76" s="23"/>
      <c r="E76" s="38">
        <v>441552</v>
      </c>
      <c r="G76" s="23">
        <f>E76-C76</f>
        <v>58061</v>
      </c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63:A70"/>
    <mergeCell ref="A47:A49"/>
    <mergeCell ref="C47:D47"/>
    <mergeCell ref="C48:D48"/>
    <mergeCell ref="C49:D49"/>
    <mergeCell ref="A51:A55"/>
    <mergeCell ref="A57:A61"/>
    <mergeCell ref="E38:E39"/>
    <mergeCell ref="G38:G39"/>
    <mergeCell ref="H38:H39"/>
    <mergeCell ref="J38:J39"/>
    <mergeCell ref="K38:K39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H30:H31"/>
    <mergeCell ref="B20:B22"/>
    <mergeCell ref="E20:E22"/>
    <mergeCell ref="G20:G22"/>
    <mergeCell ref="H20:H22"/>
    <mergeCell ref="K10:K12"/>
    <mergeCell ref="J20:J22"/>
    <mergeCell ref="K20:K22"/>
    <mergeCell ref="B15:B17"/>
    <mergeCell ref="E15:E17"/>
    <mergeCell ref="G15:G17"/>
    <mergeCell ref="H15:H17"/>
    <mergeCell ref="J15:J17"/>
    <mergeCell ref="K15:K17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27" workbookViewId="0">
      <selection activeCell="H55" sqref="H55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x14ac:dyDescent="0.25">
      <c r="F2" s="1"/>
      <c r="G2" s="111" t="s">
        <v>1</v>
      </c>
      <c r="H2" s="111"/>
      <c r="I2" s="1"/>
      <c r="J2" s="111" t="s">
        <v>2</v>
      </c>
      <c r="K2" s="111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2" t="s">
        <v>5</v>
      </c>
      <c r="E4" s="113"/>
      <c r="F4" s="1"/>
      <c r="G4" s="3">
        <v>0</v>
      </c>
      <c r="H4" s="3">
        <v>0</v>
      </c>
      <c r="I4" s="1"/>
      <c r="J4" s="3">
        <v>1</v>
      </c>
      <c r="K4" s="3">
        <v>1</v>
      </c>
    </row>
    <row r="5" spans="1:11" x14ac:dyDescent="0.25">
      <c r="A5" s="114" t="s">
        <v>6</v>
      </c>
      <c r="B5" s="115" t="s">
        <v>97</v>
      </c>
      <c r="C5" s="4" t="s">
        <v>7</v>
      </c>
      <c r="D5" s="7">
        <f>'მკურნალობაში ჩართვა-სტანდარტული'!I4</f>
        <v>60</v>
      </c>
      <c r="E5" s="116">
        <f>D5+D7+D6</f>
        <v>429</v>
      </c>
      <c r="F5" s="1"/>
      <c r="G5" s="117">
        <f>(E5-D5-D6)*$G$4</f>
        <v>0</v>
      </c>
      <c r="H5" s="117">
        <f>(E5-D5-D6)*$H$4</f>
        <v>0</v>
      </c>
      <c r="I5" s="1"/>
      <c r="J5" s="117">
        <f>(E5-D5-D6)*$J$4+D5+D6</f>
        <v>429</v>
      </c>
      <c r="K5" s="117">
        <f>(E5-D5-D6)*$K$4+D5+D6</f>
        <v>429</v>
      </c>
    </row>
    <row r="6" spans="1:11" x14ac:dyDescent="0.25">
      <c r="A6" s="114"/>
      <c r="B6" s="115"/>
      <c r="C6" s="4" t="s">
        <v>9</v>
      </c>
      <c r="D6" s="7">
        <f>'მკურნალობაში ჩართვა-სტანდარტული'!I5</f>
        <v>140</v>
      </c>
      <c r="E6" s="116"/>
      <c r="F6" s="1"/>
      <c r="G6" s="117"/>
      <c r="H6" s="117"/>
      <c r="I6" s="1"/>
      <c r="J6" s="117"/>
      <c r="K6" s="117"/>
    </row>
    <row r="7" spans="1:11" x14ac:dyDescent="0.25">
      <c r="A7" s="114"/>
      <c r="B7" s="115"/>
      <c r="C7" s="4" t="s">
        <v>8</v>
      </c>
      <c r="D7" s="7">
        <f>'მკურნალობაში ჩართვა-სტანდარტული'!I6</f>
        <v>229</v>
      </c>
      <c r="E7" s="116"/>
      <c r="F7" s="1"/>
      <c r="G7" s="117"/>
      <c r="H7" s="117"/>
      <c r="I7" s="1"/>
      <c r="J7" s="117"/>
      <c r="K7" s="117"/>
    </row>
    <row r="8" spans="1:11" x14ac:dyDescent="0.25">
      <c r="A8" s="114"/>
      <c r="E8" s="9"/>
      <c r="F8" s="1"/>
      <c r="I8" s="1"/>
    </row>
    <row r="9" spans="1:11" x14ac:dyDescent="0.25">
      <c r="A9" s="114"/>
      <c r="D9" s="8"/>
      <c r="E9" s="9"/>
      <c r="F9" s="1"/>
      <c r="I9" s="1"/>
    </row>
    <row r="10" spans="1:11" x14ac:dyDescent="0.25">
      <c r="A10" s="114"/>
      <c r="B10" s="115" t="s">
        <v>98</v>
      </c>
      <c r="C10" s="4" t="s">
        <v>7</v>
      </c>
      <c r="D10" s="7">
        <f>'მკურნალობაში ჩართვა-სტანდარტული'!I12</f>
        <v>60</v>
      </c>
      <c r="E10" s="116">
        <f>D10+D12+D11</f>
        <v>349</v>
      </c>
      <c r="F10" s="1"/>
      <c r="G10" s="117">
        <f>(E10-D10-D11)*$G$4</f>
        <v>0</v>
      </c>
      <c r="H10" s="117">
        <f>(E10-D10-D11)*$H$4</f>
        <v>0</v>
      </c>
      <c r="I10" s="1"/>
      <c r="J10" s="117">
        <f>(E10-D10-D11)*$J$4+D10+D11</f>
        <v>349</v>
      </c>
      <c r="K10" s="117">
        <f>(E10-D10-D11)*$K$4+D10+D11</f>
        <v>349</v>
      </c>
    </row>
    <row r="11" spans="1:11" x14ac:dyDescent="0.25">
      <c r="A11" s="114"/>
      <c r="B11" s="115"/>
      <c r="C11" s="4" t="s">
        <v>9</v>
      </c>
      <c r="D11" s="7">
        <f>'მკურნალობაში ჩართვა-სტანდარტული'!I13</f>
        <v>140</v>
      </c>
      <c r="E11" s="116"/>
      <c r="F11" s="1"/>
      <c r="G11" s="117"/>
      <c r="H11" s="117"/>
      <c r="I11" s="1"/>
      <c r="J11" s="117"/>
      <c r="K11" s="117"/>
    </row>
    <row r="12" spans="1:11" x14ac:dyDescent="0.25">
      <c r="A12" s="114"/>
      <c r="B12" s="115"/>
      <c r="C12" s="4" t="s">
        <v>10</v>
      </c>
      <c r="D12" s="7">
        <f>'მკურნალობაში ჩართვა-სტანდარტული'!I14</f>
        <v>149</v>
      </c>
      <c r="E12" s="116"/>
      <c r="F12" s="1"/>
      <c r="G12" s="117"/>
      <c r="H12" s="117"/>
      <c r="I12" s="1"/>
      <c r="J12" s="117"/>
      <c r="K12" s="117"/>
    </row>
    <row r="13" spans="1:11" x14ac:dyDescent="0.25">
      <c r="A13" s="114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14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14"/>
      <c r="B15" s="118" t="s">
        <v>99</v>
      </c>
      <c r="C15" s="4" t="s">
        <v>7</v>
      </c>
      <c r="D15" s="7">
        <f>'მკურნალობაში ჩართვა-პჯდ'!I4</f>
        <v>60</v>
      </c>
      <c r="E15" s="116">
        <f>D15+D17+D16</f>
        <v>381</v>
      </c>
      <c r="F15" s="1"/>
      <c r="G15" s="117">
        <f>(E15-D15-D16)*$G$4</f>
        <v>0</v>
      </c>
      <c r="H15" s="117">
        <f>(E15-D15-D16)*$H$4</f>
        <v>0</v>
      </c>
      <c r="I15" s="1"/>
      <c r="J15" s="117">
        <f>(E15-D15-D16)*$J$4+D15+D16</f>
        <v>381</v>
      </c>
      <c r="K15" s="117">
        <f>(E15-D15-D16)*$K$4+D15+D16</f>
        <v>381</v>
      </c>
    </row>
    <row r="16" spans="1:11" x14ac:dyDescent="0.25">
      <c r="A16" s="114"/>
      <c r="B16" s="118"/>
      <c r="C16" s="4" t="s">
        <v>9</v>
      </c>
      <c r="D16" s="7">
        <f>'მკურნალობაში ჩართვა-პჯდ'!I5</f>
        <v>140</v>
      </c>
      <c r="E16" s="116"/>
      <c r="F16" s="1"/>
      <c r="G16" s="117"/>
      <c r="H16" s="117"/>
      <c r="I16" s="1"/>
      <c r="J16" s="117"/>
      <c r="K16" s="117"/>
    </row>
    <row r="17" spans="1:11" x14ac:dyDescent="0.25">
      <c r="A17" s="114"/>
      <c r="B17" s="118"/>
      <c r="C17" s="4" t="s">
        <v>8</v>
      </c>
      <c r="D17" s="7">
        <f>'მკურნალობაში ჩართვა-პჯდ'!I6</f>
        <v>181</v>
      </c>
      <c r="E17" s="116"/>
      <c r="F17" s="1"/>
      <c r="G17" s="117"/>
      <c r="H17" s="117"/>
      <c r="I17" s="1"/>
      <c r="J17" s="117"/>
      <c r="K17" s="117"/>
    </row>
    <row r="18" spans="1:11" x14ac:dyDescent="0.25">
      <c r="A18" s="114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14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14"/>
      <c r="B20" s="118" t="s">
        <v>100</v>
      </c>
      <c r="C20" s="4" t="s">
        <v>7</v>
      </c>
      <c r="D20" s="7">
        <f>'მკურნალობაში ჩართვა-პჯდ'!I12</f>
        <v>60</v>
      </c>
      <c r="E20" s="116">
        <f>D20+D22+D21</f>
        <v>301</v>
      </c>
      <c r="F20" s="1"/>
      <c r="G20" s="117">
        <f>(E20-D20-D21)*$G$4</f>
        <v>0</v>
      </c>
      <c r="H20" s="117">
        <f>(E20-D20-D21)*$H$4</f>
        <v>0</v>
      </c>
      <c r="I20" s="1"/>
      <c r="J20" s="117">
        <f>(E20-D20-D21)*$J$4+D20+D21</f>
        <v>301</v>
      </c>
      <c r="K20" s="117">
        <f>(E20-D20-D21)*$K$4+D20+D21</f>
        <v>301</v>
      </c>
    </row>
    <row r="21" spans="1:11" x14ac:dyDescent="0.25">
      <c r="A21" s="114"/>
      <c r="B21" s="118"/>
      <c r="C21" s="4" t="s">
        <v>9</v>
      </c>
      <c r="D21" s="7">
        <f>'მკურნალობაში ჩართვა-პჯდ'!I13</f>
        <v>140</v>
      </c>
      <c r="E21" s="116"/>
      <c r="F21" s="1"/>
      <c r="G21" s="117"/>
      <c r="H21" s="117"/>
      <c r="I21" s="1"/>
      <c r="J21" s="117"/>
      <c r="K21" s="117"/>
    </row>
    <row r="22" spans="1:11" x14ac:dyDescent="0.25">
      <c r="A22" s="114"/>
      <c r="B22" s="118"/>
      <c r="C22" s="4" t="s">
        <v>8</v>
      </c>
      <c r="D22" s="7">
        <f>'მკურნალობაში ჩართვა-პჯდ'!I14</f>
        <v>101</v>
      </c>
      <c r="E22" s="116"/>
      <c r="F22" s="1"/>
      <c r="G22" s="117"/>
      <c r="H22" s="117"/>
      <c r="I22" s="1"/>
      <c r="J22" s="117"/>
      <c r="K22" s="117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14"/>
      <c r="B24" s="118" t="s">
        <v>11</v>
      </c>
      <c r="C24" s="10" t="s">
        <v>12</v>
      </c>
      <c r="D24" s="7">
        <f>'მონიტორინგი-სტანდარტული'!I10</f>
        <v>227</v>
      </c>
      <c r="E24" s="116">
        <f>AVERAGE(D24:D25)</f>
        <v>222.5</v>
      </c>
      <c r="F24" s="1"/>
      <c r="G24" s="119">
        <f>E24*30%</f>
        <v>66.75</v>
      </c>
      <c r="H24" s="119">
        <f>E24*70%</f>
        <v>155.75</v>
      </c>
      <c r="I24" s="1"/>
      <c r="J24" s="119">
        <f>E24*70%</f>
        <v>155.75</v>
      </c>
      <c r="K24" s="119">
        <f>E24*30%</f>
        <v>66.75</v>
      </c>
    </row>
    <row r="25" spans="1:11" x14ac:dyDescent="0.25">
      <c r="A25" s="114"/>
      <c r="B25" s="118"/>
      <c r="C25" s="11" t="s">
        <v>13</v>
      </c>
      <c r="D25" s="7">
        <f>'მონიტორინგი-სტანდარტული'!I22</f>
        <v>218</v>
      </c>
      <c r="E25" s="116"/>
      <c r="F25" s="1"/>
      <c r="G25" s="120"/>
      <c r="H25" s="120"/>
      <c r="I25" s="1"/>
      <c r="J25" s="120"/>
      <c r="K25" s="120"/>
    </row>
    <row r="26" spans="1:11" x14ac:dyDescent="0.25">
      <c r="A26" s="114"/>
      <c r="E26" s="9"/>
      <c r="F26" s="1"/>
      <c r="I26" s="1"/>
    </row>
    <row r="27" spans="1:11" x14ac:dyDescent="0.25">
      <c r="A27" s="114"/>
      <c r="B27" s="118" t="s">
        <v>14</v>
      </c>
      <c r="C27" s="10" t="s">
        <v>15</v>
      </c>
      <c r="D27" s="7">
        <f>'მონიტორინგი-სტანდარტული'!K36</f>
        <v>286</v>
      </c>
      <c r="E27" s="116">
        <f>AVERAGE(D27:D28)</f>
        <v>281.5</v>
      </c>
      <c r="F27" s="1"/>
      <c r="G27" s="117">
        <f>E27*30%</f>
        <v>84.45</v>
      </c>
      <c r="H27" s="117">
        <f>E27*70%</f>
        <v>197.04999999999998</v>
      </c>
      <c r="I27" s="1"/>
      <c r="J27" s="117">
        <f>E27*70%</f>
        <v>197.04999999999998</v>
      </c>
      <c r="K27" s="117">
        <f>E27*30%</f>
        <v>84.45</v>
      </c>
    </row>
    <row r="28" spans="1:11" x14ac:dyDescent="0.25">
      <c r="A28" s="114"/>
      <c r="B28" s="118"/>
      <c r="C28" s="11" t="s">
        <v>16</v>
      </c>
      <c r="D28" s="7">
        <f>'მონიტორინგი-სტანდარტული'!K49</f>
        <v>277</v>
      </c>
      <c r="E28" s="116"/>
      <c r="F28" s="1"/>
      <c r="G28" s="117"/>
      <c r="H28" s="117"/>
      <c r="I28" s="1"/>
      <c r="J28" s="117"/>
      <c r="K28" s="117"/>
    </row>
    <row r="29" spans="1:11" x14ac:dyDescent="0.25">
      <c r="A29" s="114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14"/>
      <c r="B30" s="124" t="s">
        <v>101</v>
      </c>
      <c r="C30" s="10" t="s">
        <v>12</v>
      </c>
      <c r="D30" s="7">
        <f>'მონიტორინგი-პჯდ'!I7</f>
        <v>102</v>
      </c>
      <c r="E30" s="116">
        <f>AVERAGE(D30:D31)</f>
        <v>88.5</v>
      </c>
      <c r="F30" s="1"/>
      <c r="G30" s="117">
        <f>E30*30%</f>
        <v>26.55</v>
      </c>
      <c r="H30" s="117">
        <f>E30*70%</f>
        <v>61.949999999999996</v>
      </c>
      <c r="I30" s="1"/>
      <c r="J30" s="117">
        <f>E30*70%</f>
        <v>61.949999999999996</v>
      </c>
      <c r="K30" s="117">
        <f>E30*30%</f>
        <v>26.55</v>
      </c>
    </row>
    <row r="31" spans="1:11" x14ac:dyDescent="0.25">
      <c r="A31" s="114"/>
      <c r="B31" s="124"/>
      <c r="C31" s="10" t="s">
        <v>13</v>
      </c>
      <c r="D31" s="96">
        <f>'მონიტორინგი-პჯდ'!I16</f>
        <v>75</v>
      </c>
      <c r="E31" s="116"/>
      <c r="F31" s="1"/>
      <c r="G31" s="117"/>
      <c r="H31" s="117"/>
      <c r="I31" s="1"/>
      <c r="J31" s="117"/>
      <c r="K31" s="117"/>
    </row>
    <row r="32" spans="1:11" x14ac:dyDescent="0.25">
      <c r="A32" s="114"/>
      <c r="C32" s="11"/>
      <c r="E32" s="9"/>
      <c r="F32" s="1"/>
      <c r="I32" s="1"/>
    </row>
    <row r="33" spans="1:11" x14ac:dyDescent="0.25">
      <c r="A33" s="114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7">
        <v>0</v>
      </c>
      <c r="H33" s="7">
        <v>0</v>
      </c>
      <c r="I33" s="1"/>
      <c r="J33" s="7">
        <f>E33</f>
        <v>130</v>
      </c>
      <c r="K33" s="7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22" t="s">
        <v>19</v>
      </c>
      <c r="B35" s="118" t="s">
        <v>20</v>
      </c>
      <c r="C35" s="4" t="s">
        <v>21</v>
      </c>
      <c r="D35" s="7">
        <f>E5+E24+E33</f>
        <v>781.5</v>
      </c>
      <c r="E35" s="116">
        <f>AVERAGE(D35:D36)</f>
        <v>741.5</v>
      </c>
      <c r="F35" s="1"/>
      <c r="G35" s="117">
        <f>(E35-E33-D5-D6)*G4</f>
        <v>0</v>
      </c>
      <c r="H35" s="117">
        <f>(E35-E33-D5-D6)*H4</f>
        <v>0</v>
      </c>
      <c r="I35" s="1"/>
      <c r="J35" s="117">
        <f>(E35-E33-D5-D6)*J4+E33+D5+D6</f>
        <v>741.5</v>
      </c>
      <c r="K35" s="117">
        <f>(E35-E33-D5-D6)*K4+E33+D5+D6</f>
        <v>741.5</v>
      </c>
    </row>
    <row r="36" spans="1:11" x14ac:dyDescent="0.25">
      <c r="A36" s="123"/>
      <c r="B36" s="118"/>
      <c r="C36" s="4" t="s">
        <v>22</v>
      </c>
      <c r="D36" s="7">
        <f>E10+E24+E33</f>
        <v>701.5</v>
      </c>
      <c r="E36" s="116"/>
      <c r="F36" s="1"/>
      <c r="G36" s="117"/>
      <c r="H36" s="117"/>
      <c r="I36" s="1"/>
      <c r="J36" s="117"/>
      <c r="K36" s="117"/>
    </row>
    <row r="37" spans="1:11" x14ac:dyDescent="0.25">
      <c r="A37" s="123"/>
      <c r="B37" s="9"/>
      <c r="D37" s="8"/>
      <c r="E37" s="9"/>
      <c r="F37" s="1"/>
      <c r="I37" s="1"/>
    </row>
    <row r="38" spans="1:11" x14ac:dyDescent="0.25">
      <c r="A38" s="123"/>
      <c r="B38" s="118" t="s">
        <v>23</v>
      </c>
      <c r="C38" s="4" t="s">
        <v>24</v>
      </c>
      <c r="D38" s="7">
        <f>E5+E27+E33</f>
        <v>840.5</v>
      </c>
      <c r="E38" s="116">
        <f>AVERAGE(D38:D39)</f>
        <v>800.5</v>
      </c>
      <c r="F38" s="1"/>
      <c r="G38" s="117">
        <f>(E38-E33-D5-D6)*G4</f>
        <v>0</v>
      </c>
      <c r="H38" s="117">
        <f>(E38-E33-D5-D6)*H4</f>
        <v>0</v>
      </c>
      <c r="I38" s="1"/>
      <c r="J38" s="117">
        <f>(E38-E33-D5-D6)*J4+E33+D5+D6</f>
        <v>800.5</v>
      </c>
      <c r="K38" s="117">
        <f>(E38-E33-D5-D6)*K4+E33+D5+D6</f>
        <v>800.5</v>
      </c>
    </row>
    <row r="39" spans="1:11" x14ac:dyDescent="0.25">
      <c r="A39" s="123"/>
      <c r="B39" s="118"/>
      <c r="C39" s="4" t="s">
        <v>25</v>
      </c>
      <c r="D39" s="7">
        <f>E10+E27+E33</f>
        <v>760.5</v>
      </c>
      <c r="E39" s="116"/>
      <c r="F39" s="1"/>
      <c r="G39" s="117"/>
      <c r="H39" s="117"/>
      <c r="I39" s="1"/>
      <c r="J39" s="117"/>
      <c r="K39" s="117"/>
    </row>
    <row r="40" spans="1:11" x14ac:dyDescent="0.25">
      <c r="A40" s="123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23"/>
      <c r="B41" s="12" t="s">
        <v>102</v>
      </c>
      <c r="C41" s="4" t="s">
        <v>104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0</v>
      </c>
      <c r="H41" s="7">
        <f>(E41-E33-D5-D6)*H4</f>
        <v>0</v>
      </c>
      <c r="I41" s="1"/>
      <c r="J41" s="7">
        <f>(E41-E33-D5-D6)*J4+E33+D5+D6</f>
        <v>599.5</v>
      </c>
      <c r="K41" s="7">
        <f>(E41-E33-D5-D6)*K4+E33+D5+D6</f>
        <v>599.5</v>
      </c>
    </row>
    <row r="42" spans="1:11" x14ac:dyDescent="0.25">
      <c r="A42" s="123"/>
      <c r="B42" s="93"/>
      <c r="C42" s="94"/>
      <c r="D42" s="95"/>
      <c r="E42" s="93"/>
      <c r="F42" s="1"/>
      <c r="G42" s="95"/>
      <c r="H42" s="95"/>
      <c r="I42" s="1"/>
      <c r="J42" s="7"/>
      <c r="K42" s="95"/>
    </row>
    <row r="43" spans="1:11" x14ac:dyDescent="0.25">
      <c r="A43" s="123"/>
      <c r="B43" s="12" t="s">
        <v>103</v>
      </c>
      <c r="C43" s="4" t="s">
        <v>105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0</v>
      </c>
      <c r="H43" s="7">
        <f>(E43-E33-D5-D6)*H4</f>
        <v>0</v>
      </c>
      <c r="I43" s="1"/>
      <c r="J43" s="7">
        <f>(E43-E33-D5-D6)*J4+E33+D5+D6</f>
        <v>519.5</v>
      </c>
      <c r="K43" s="7">
        <f>(E43-E33-D5-D6)*K4+D5+D6+E33</f>
        <v>519.5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21" t="s">
        <v>26</v>
      </c>
      <c r="H45" s="121"/>
      <c r="I45" s="1"/>
      <c r="J45" s="121" t="s">
        <v>27</v>
      </c>
      <c r="K45" s="121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25" t="s">
        <v>19</v>
      </c>
      <c r="B47" s="7" t="s">
        <v>20</v>
      </c>
      <c r="C47" s="127" t="s">
        <v>28</v>
      </c>
      <c r="D47" s="128"/>
      <c r="E47" s="7">
        <f>E35</f>
        <v>741.5</v>
      </c>
      <c r="F47" s="1"/>
      <c r="G47" s="7">
        <f>E47*G4</f>
        <v>0</v>
      </c>
      <c r="H47" s="7">
        <f>E47*H4</f>
        <v>0</v>
      </c>
      <c r="I47" s="1"/>
      <c r="J47" s="7">
        <f>E47-G47</f>
        <v>741.5</v>
      </c>
      <c r="K47" s="7">
        <f>E47-H47</f>
        <v>741.5</v>
      </c>
    </row>
    <row r="48" spans="1:11" ht="29.25" customHeight="1" x14ac:dyDescent="0.25">
      <c r="A48" s="126"/>
      <c r="B48" s="7" t="s">
        <v>23</v>
      </c>
      <c r="C48" s="127" t="s">
        <v>29</v>
      </c>
      <c r="D48" s="128"/>
      <c r="E48" s="7">
        <f>E38</f>
        <v>800.5</v>
      </c>
      <c r="F48" s="1"/>
      <c r="G48" s="7">
        <f>E48*G4</f>
        <v>0</v>
      </c>
      <c r="H48" s="7">
        <f>E48*H4</f>
        <v>0</v>
      </c>
      <c r="I48" s="1"/>
      <c r="J48" s="7">
        <f>E48-G48</f>
        <v>800.5</v>
      </c>
      <c r="K48" s="7">
        <f>E48-H48</f>
        <v>800.5</v>
      </c>
    </row>
    <row r="49" spans="1:15" ht="33.75" customHeight="1" x14ac:dyDescent="0.25">
      <c r="A49" s="126"/>
      <c r="B49" s="7" t="s">
        <v>102</v>
      </c>
      <c r="C49" s="117" t="s">
        <v>28</v>
      </c>
      <c r="D49" s="117"/>
      <c r="E49" s="7">
        <f>AVERAGE(E41,E43)</f>
        <v>559.5</v>
      </c>
      <c r="F49" s="1"/>
      <c r="G49" s="7">
        <f>E49*G4</f>
        <v>0</v>
      </c>
      <c r="H49" s="7">
        <f>E49*H4</f>
        <v>0</v>
      </c>
      <c r="I49" s="1"/>
      <c r="J49" s="7">
        <f>E49-G49</f>
        <v>559.5</v>
      </c>
      <c r="K49" s="7">
        <f>E49-H49</f>
        <v>559.5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2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30"/>
      <c r="B52" s="21" t="s">
        <v>32</v>
      </c>
      <c r="C52" s="7">
        <v>25000</v>
      </c>
      <c r="D52" s="7">
        <f>C52*10%</f>
        <v>2500</v>
      </c>
      <c r="E52" s="7">
        <f>C52*90%</f>
        <v>22500</v>
      </c>
    </row>
    <row r="53" spans="1:15" ht="36" customHeight="1" x14ac:dyDescent="0.25">
      <c r="A53" s="130"/>
      <c r="B53" s="21" t="s">
        <v>28</v>
      </c>
      <c r="C53" s="7">
        <f>C52*60%</f>
        <v>15000</v>
      </c>
      <c r="D53" s="7">
        <f>D52*60%</f>
        <v>1500</v>
      </c>
      <c r="E53" s="7">
        <f>E52*60%</f>
        <v>13500</v>
      </c>
      <c r="H53" s="22"/>
      <c r="M53" s="23"/>
    </row>
    <row r="54" spans="1:15" ht="34.5" x14ac:dyDescent="0.25">
      <c r="A54" s="130"/>
      <c r="B54" s="21" t="s">
        <v>29</v>
      </c>
      <c r="C54" s="7">
        <f>C52*10%</f>
        <v>2500</v>
      </c>
      <c r="D54" s="7">
        <f>D52*10%</f>
        <v>250</v>
      </c>
      <c r="E54" s="7">
        <f>E52*10%</f>
        <v>2250</v>
      </c>
      <c r="H54" s="23"/>
    </row>
    <row r="55" spans="1:15" ht="23.25" x14ac:dyDescent="0.25">
      <c r="A55" s="130"/>
      <c r="B55" s="21" t="s">
        <v>106</v>
      </c>
      <c r="C55" s="7">
        <f>C52*30%</f>
        <v>7500</v>
      </c>
      <c r="D55" s="7">
        <f>D52*30%</f>
        <v>750</v>
      </c>
      <c r="E55" s="7">
        <f>E52*30%</f>
        <v>6750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3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31"/>
      <c r="B58" s="25" t="s">
        <v>28</v>
      </c>
      <c r="C58" s="26">
        <f>D58+E58</f>
        <v>0</v>
      </c>
      <c r="D58" s="27">
        <f t="shared" ref="D58:E60" si="0">D53*G47</f>
        <v>0</v>
      </c>
      <c r="E58" s="27">
        <f t="shared" si="0"/>
        <v>0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31"/>
      <c r="B59" s="25" t="s">
        <v>29</v>
      </c>
      <c r="C59" s="26">
        <f>D59+E59</f>
        <v>0</v>
      </c>
      <c r="D59" s="27">
        <f t="shared" si="0"/>
        <v>0</v>
      </c>
      <c r="E59" s="27">
        <f t="shared" si="0"/>
        <v>0</v>
      </c>
      <c r="G59" s="23"/>
      <c r="H59" s="23"/>
      <c r="J59" s="23"/>
      <c r="K59" s="28"/>
      <c r="L59" s="23"/>
    </row>
    <row r="60" spans="1:15" ht="23.25" x14ac:dyDescent="0.25">
      <c r="A60" s="131"/>
      <c r="B60" s="25" t="s">
        <v>106</v>
      </c>
      <c r="C60" s="26">
        <f>D60+E60</f>
        <v>0</v>
      </c>
      <c r="D60" s="27">
        <f t="shared" si="0"/>
        <v>0</v>
      </c>
      <c r="E60" s="27">
        <f t="shared" si="0"/>
        <v>0</v>
      </c>
      <c r="G60" s="23"/>
      <c r="H60" s="23"/>
      <c r="J60" s="23"/>
      <c r="K60" s="28"/>
      <c r="L60" s="23"/>
    </row>
    <row r="61" spans="1:15" x14ac:dyDescent="0.25">
      <c r="A61" s="131"/>
      <c r="B61" s="30" t="s">
        <v>35</v>
      </c>
      <c r="C61" s="31">
        <f>C58+C59+C60</f>
        <v>0</v>
      </c>
      <c r="D61" s="26">
        <f>D58+D59+D60</f>
        <v>0</v>
      </c>
      <c r="E61" s="32">
        <f>E58+E59+E60</f>
        <v>0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14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14"/>
      <c r="B64" s="25" t="s">
        <v>28</v>
      </c>
      <c r="C64" s="26">
        <f>D64+E64</f>
        <v>11122500</v>
      </c>
      <c r="D64" s="27">
        <f t="shared" ref="D64:E66" si="1">D53*J47</f>
        <v>1112250</v>
      </c>
      <c r="E64" s="27">
        <f t="shared" si="1"/>
        <v>10010250</v>
      </c>
      <c r="G64" s="29"/>
      <c r="H64" s="23"/>
      <c r="J64" s="29"/>
      <c r="L64" s="23"/>
      <c r="M64" s="23"/>
      <c r="O64" s="23"/>
    </row>
    <row r="65" spans="1:15" ht="34.5" x14ac:dyDescent="0.25">
      <c r="A65" s="114"/>
      <c r="B65" s="25" t="s">
        <v>29</v>
      </c>
      <c r="C65" s="26">
        <f>D65+E65</f>
        <v>2001250</v>
      </c>
      <c r="D65" s="27">
        <f t="shared" si="1"/>
        <v>200125</v>
      </c>
      <c r="E65" s="27">
        <f t="shared" si="1"/>
        <v>1801125</v>
      </c>
      <c r="G65" s="29"/>
      <c r="H65" s="23"/>
      <c r="J65" s="29"/>
      <c r="L65" s="29"/>
      <c r="M65" s="29"/>
      <c r="O65" s="23"/>
    </row>
    <row r="66" spans="1:15" ht="23.25" x14ac:dyDescent="0.25">
      <c r="A66" s="114"/>
      <c r="B66" s="25" t="s">
        <v>106</v>
      </c>
      <c r="C66" s="26">
        <f>D66+E66</f>
        <v>4196250</v>
      </c>
      <c r="D66" s="27">
        <f t="shared" si="1"/>
        <v>419625</v>
      </c>
      <c r="E66" s="27">
        <f t="shared" si="1"/>
        <v>3776625</v>
      </c>
      <c r="G66" s="29"/>
      <c r="H66" s="23"/>
      <c r="J66" s="29"/>
      <c r="L66" s="29"/>
      <c r="M66" s="29"/>
      <c r="O66" s="23"/>
    </row>
    <row r="67" spans="1:15" ht="23.25" x14ac:dyDescent="0.25">
      <c r="A67" s="114"/>
      <c r="B67" s="30" t="s">
        <v>37</v>
      </c>
      <c r="C67" s="31">
        <f>C64+C65+C66</f>
        <v>17320000</v>
      </c>
      <c r="D67" s="32">
        <f>D64+D65+D66</f>
        <v>1732000</v>
      </c>
      <c r="E67" s="32">
        <f>E64+E65+E66</f>
        <v>15588000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14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14"/>
      <c r="B69" s="30" t="s">
        <v>38</v>
      </c>
      <c r="C69" s="31">
        <f>C52*50</f>
        <v>1250000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14"/>
      <c r="B70" s="30" t="s">
        <v>35</v>
      </c>
      <c r="C70" s="35">
        <f>C67+C69+E73</f>
        <v>19002000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7200</v>
      </c>
      <c r="D73">
        <v>60</v>
      </c>
      <c r="E73">
        <f>C73*D73</f>
        <v>432000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19434000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19434000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K5:K7"/>
    <mergeCell ref="B10:B12"/>
    <mergeCell ref="E10:E12"/>
    <mergeCell ref="G10:G12"/>
    <mergeCell ref="H10:H12"/>
    <mergeCell ref="J10:J12"/>
    <mergeCell ref="K10:K12"/>
    <mergeCell ref="J20:J22"/>
    <mergeCell ref="K20:K22"/>
    <mergeCell ref="B15:B17"/>
    <mergeCell ref="E15:E17"/>
    <mergeCell ref="G15:G17"/>
    <mergeCell ref="H15:H17"/>
    <mergeCell ref="J15:J17"/>
    <mergeCell ref="K15:K17"/>
    <mergeCell ref="H30:H31"/>
    <mergeCell ref="B20:B22"/>
    <mergeCell ref="E20:E22"/>
    <mergeCell ref="G20:G22"/>
    <mergeCell ref="H20:H22"/>
    <mergeCell ref="K24:K25"/>
    <mergeCell ref="B27:B28"/>
    <mergeCell ref="E27:E28"/>
    <mergeCell ref="G27:G28"/>
    <mergeCell ref="H27:H28"/>
    <mergeCell ref="J27:J28"/>
    <mergeCell ref="K27:K28"/>
    <mergeCell ref="B24:B25"/>
    <mergeCell ref="E24:E25"/>
    <mergeCell ref="G24:G25"/>
    <mergeCell ref="H24:H25"/>
    <mergeCell ref="J24:J25"/>
    <mergeCell ref="G45:H45"/>
    <mergeCell ref="J45:K45"/>
    <mergeCell ref="J30:J31"/>
    <mergeCell ref="K30:K31"/>
    <mergeCell ref="A35:A43"/>
    <mergeCell ref="B35:B36"/>
    <mergeCell ref="E35:E36"/>
    <mergeCell ref="G35:G36"/>
    <mergeCell ref="H35:H36"/>
    <mergeCell ref="J35:J36"/>
    <mergeCell ref="K35:K36"/>
    <mergeCell ref="B38:B39"/>
    <mergeCell ref="A24:A33"/>
    <mergeCell ref="B30:B31"/>
    <mergeCell ref="E30:E31"/>
    <mergeCell ref="G30:G31"/>
    <mergeCell ref="E38:E39"/>
    <mergeCell ref="G38:G39"/>
    <mergeCell ref="H38:H39"/>
    <mergeCell ref="J38:J39"/>
    <mergeCell ref="K38:K39"/>
    <mergeCell ref="A63:A70"/>
    <mergeCell ref="A47:A49"/>
    <mergeCell ref="C47:D47"/>
    <mergeCell ref="C48:D48"/>
    <mergeCell ref="C49:D49"/>
    <mergeCell ref="A51:A55"/>
    <mergeCell ref="A57:A6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44" zoomScale="80" zoomScaleNormal="80" workbookViewId="0">
      <selection activeCell="C78" sqref="C78"/>
    </sheetView>
  </sheetViews>
  <sheetFormatPr defaultRowHeight="15" x14ac:dyDescent="0.25"/>
  <cols>
    <col min="2" max="2" width="18.5703125" bestFit="1" customWidth="1"/>
    <col min="3" max="3" width="42.5703125" bestFit="1" customWidth="1"/>
    <col min="4" max="4" width="17.42578125" customWidth="1"/>
    <col min="5" max="5" width="18.140625" customWidth="1"/>
    <col min="6" max="6" width="3.85546875" customWidth="1"/>
    <col min="7" max="7" width="16.85546875" bestFit="1" customWidth="1"/>
    <col min="8" max="8" width="21.5703125" customWidth="1"/>
    <col min="9" max="9" width="4" customWidth="1"/>
    <col min="10" max="10" width="16.85546875" bestFit="1" customWidth="1"/>
    <col min="11" max="11" width="19.28515625" customWidth="1"/>
    <col min="12" max="12" width="17" customWidth="1"/>
    <col min="13" max="13" width="16.85546875" bestFit="1" customWidth="1"/>
    <col min="14" max="14" width="10.5703125" bestFit="1" customWidth="1"/>
    <col min="15" max="15" width="13.28515625" bestFit="1" customWidth="1"/>
  </cols>
  <sheetData>
    <row r="1" spans="1:11" x14ac:dyDescent="0.25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x14ac:dyDescent="0.25">
      <c r="F2" s="1"/>
      <c r="G2" s="111" t="s">
        <v>1</v>
      </c>
      <c r="H2" s="111"/>
      <c r="I2" s="1"/>
      <c r="J2" s="111" t="s">
        <v>2</v>
      </c>
      <c r="K2" s="111"/>
    </row>
    <row r="3" spans="1:11" x14ac:dyDescent="0.25">
      <c r="F3" s="1"/>
      <c r="G3" s="2" t="s">
        <v>3</v>
      </c>
      <c r="H3" s="2" t="s">
        <v>4</v>
      </c>
      <c r="I3" s="1"/>
      <c r="J3" s="2" t="s">
        <v>3</v>
      </c>
      <c r="K3" s="2" t="s">
        <v>4</v>
      </c>
    </row>
    <row r="4" spans="1:11" ht="34.5" customHeight="1" x14ac:dyDescent="0.25">
      <c r="D4" s="112" t="s">
        <v>5</v>
      </c>
      <c r="E4" s="113"/>
      <c r="F4" s="1"/>
      <c r="G4" s="3">
        <v>0.3</v>
      </c>
      <c r="H4" s="3">
        <v>0.7</v>
      </c>
      <c r="I4" s="1"/>
      <c r="J4" s="3">
        <v>0.7</v>
      </c>
      <c r="K4" s="3">
        <v>0.3</v>
      </c>
    </row>
    <row r="5" spans="1:11" x14ac:dyDescent="0.25">
      <c r="A5" s="114" t="s">
        <v>6</v>
      </c>
      <c r="B5" s="115" t="s">
        <v>97</v>
      </c>
      <c r="C5" s="4" t="s">
        <v>7</v>
      </c>
      <c r="D5" s="5">
        <f>'მკურნალობაში ჩართვა-სტანდარტული'!I4</f>
        <v>60</v>
      </c>
      <c r="E5" s="116">
        <f>D5+D7+D6</f>
        <v>429</v>
      </c>
      <c r="F5" s="1"/>
      <c r="G5" s="117">
        <f>(E5-D5-D6)*$G$4</f>
        <v>68.7</v>
      </c>
      <c r="H5" s="117">
        <f>(E5-D5-D6)*$H$4</f>
        <v>160.29999999999998</v>
      </c>
      <c r="I5" s="1"/>
      <c r="J5" s="117">
        <f>(E5-D5-D6)*$J$4+D5+D6</f>
        <v>360.29999999999995</v>
      </c>
      <c r="K5" s="117">
        <f>(E5-D5-D6)*$K$4+D5+D6</f>
        <v>268.7</v>
      </c>
    </row>
    <row r="6" spans="1:11" x14ac:dyDescent="0.25">
      <c r="A6" s="114"/>
      <c r="B6" s="115"/>
      <c r="C6" s="4" t="s">
        <v>9</v>
      </c>
      <c r="D6" s="5">
        <f>'მკურნალობაში ჩართვა-სტანდარტული'!I5</f>
        <v>140</v>
      </c>
      <c r="E6" s="116"/>
      <c r="F6" s="1"/>
      <c r="G6" s="117"/>
      <c r="H6" s="117"/>
      <c r="I6" s="1"/>
      <c r="J6" s="117"/>
      <c r="K6" s="117"/>
    </row>
    <row r="7" spans="1:11" x14ac:dyDescent="0.25">
      <c r="A7" s="114"/>
      <c r="B7" s="115"/>
      <c r="C7" s="4" t="s">
        <v>8</v>
      </c>
      <c r="D7" s="5">
        <f>'მკურნალობაში ჩართვა-სტანდარტული'!I6</f>
        <v>229</v>
      </c>
      <c r="E7" s="116"/>
      <c r="F7" s="1"/>
      <c r="G7" s="117"/>
      <c r="H7" s="117"/>
      <c r="I7" s="1"/>
      <c r="J7" s="117"/>
      <c r="K7" s="117"/>
    </row>
    <row r="8" spans="1:11" x14ac:dyDescent="0.25">
      <c r="A8" s="114"/>
      <c r="E8" s="9"/>
      <c r="F8" s="1"/>
      <c r="I8" s="1"/>
    </row>
    <row r="9" spans="1:11" x14ac:dyDescent="0.25">
      <c r="A9" s="114"/>
      <c r="D9" s="8"/>
      <c r="E9" s="9"/>
      <c r="F9" s="1"/>
      <c r="I9" s="1"/>
    </row>
    <row r="10" spans="1:11" x14ac:dyDescent="0.25">
      <c r="A10" s="114"/>
      <c r="B10" s="115" t="s">
        <v>98</v>
      </c>
      <c r="C10" s="4" t="s">
        <v>7</v>
      </c>
      <c r="D10" s="5">
        <f>'მკურნალობაში ჩართვა-სტანდარტული'!I12</f>
        <v>60</v>
      </c>
      <c r="E10" s="116">
        <f>D10+D12+D11</f>
        <v>349</v>
      </c>
      <c r="F10" s="1"/>
      <c r="G10" s="117">
        <f>(E10-D10-D11)*$G$4</f>
        <v>44.699999999999996</v>
      </c>
      <c r="H10" s="117">
        <f>(E10-D10-D11)*$H$4</f>
        <v>104.3</v>
      </c>
      <c r="I10" s="1"/>
      <c r="J10" s="117">
        <f>(E10-D10-D11)*$J$4+D10+D11</f>
        <v>304.3</v>
      </c>
      <c r="K10" s="117">
        <f>(E10-D10-D11)*$K$4+D10+D11</f>
        <v>244.7</v>
      </c>
    </row>
    <row r="11" spans="1:11" x14ac:dyDescent="0.25">
      <c r="A11" s="114"/>
      <c r="B11" s="115"/>
      <c r="C11" s="4" t="s">
        <v>9</v>
      </c>
      <c r="D11" s="5">
        <f>'მკურნალობაში ჩართვა-სტანდარტული'!I13</f>
        <v>140</v>
      </c>
      <c r="E11" s="116"/>
      <c r="F11" s="1"/>
      <c r="G11" s="117"/>
      <c r="H11" s="117"/>
      <c r="I11" s="1"/>
      <c r="J11" s="117"/>
      <c r="K11" s="117"/>
    </row>
    <row r="12" spans="1:11" x14ac:dyDescent="0.25">
      <c r="A12" s="114"/>
      <c r="B12" s="115"/>
      <c r="C12" s="4" t="s">
        <v>10</v>
      </c>
      <c r="D12" s="5">
        <f>'მკურნალობაში ჩართვა-სტანდარტული'!I14</f>
        <v>149</v>
      </c>
      <c r="E12" s="116"/>
      <c r="F12" s="1"/>
      <c r="G12" s="117"/>
      <c r="H12" s="117"/>
      <c r="I12" s="1"/>
      <c r="J12" s="117"/>
      <c r="K12" s="117"/>
    </row>
    <row r="13" spans="1:11" x14ac:dyDescent="0.25">
      <c r="A13" s="114"/>
      <c r="B13" s="93"/>
      <c r="E13" s="93"/>
      <c r="F13" s="1"/>
      <c r="G13" s="95"/>
      <c r="H13" s="95"/>
      <c r="I13" s="1"/>
      <c r="J13" s="95"/>
      <c r="K13" s="95"/>
    </row>
    <row r="14" spans="1:11" x14ac:dyDescent="0.25">
      <c r="A14" s="114"/>
      <c r="B14" s="93"/>
      <c r="C14" s="94"/>
      <c r="D14" s="95"/>
      <c r="E14" s="93"/>
      <c r="F14" s="1"/>
      <c r="G14" s="95"/>
      <c r="H14" s="95"/>
      <c r="I14" s="1"/>
      <c r="J14" s="95"/>
      <c r="K14" s="95"/>
    </row>
    <row r="15" spans="1:11" x14ac:dyDescent="0.25">
      <c r="A15" s="114"/>
      <c r="B15" s="118" t="s">
        <v>99</v>
      </c>
      <c r="C15" s="4" t="s">
        <v>7</v>
      </c>
      <c r="D15" s="7">
        <f>'მკურნალობაში ჩართვა-პჯდ'!I4</f>
        <v>60</v>
      </c>
      <c r="E15" s="116">
        <f>D15+D17+D16</f>
        <v>381</v>
      </c>
      <c r="F15" s="1"/>
      <c r="G15" s="117">
        <f>(E15-D15-D16)*$G$4</f>
        <v>54.3</v>
      </c>
      <c r="H15" s="117">
        <f>(E15-D15-D16)*$H$4</f>
        <v>126.69999999999999</v>
      </c>
      <c r="I15" s="1"/>
      <c r="J15" s="117">
        <f>(E15-D15-D16)*$J$4+D15+D16</f>
        <v>326.7</v>
      </c>
      <c r="K15" s="117">
        <f>(E15-D15-D16)*$K$4+D15+D16</f>
        <v>254.3</v>
      </c>
    </row>
    <row r="16" spans="1:11" x14ac:dyDescent="0.25">
      <c r="A16" s="114"/>
      <c r="B16" s="118"/>
      <c r="C16" s="4" t="s">
        <v>9</v>
      </c>
      <c r="D16" s="7">
        <f>'მკურნალობაში ჩართვა-პჯდ'!I5</f>
        <v>140</v>
      </c>
      <c r="E16" s="116"/>
      <c r="F16" s="1"/>
      <c r="G16" s="117"/>
      <c r="H16" s="117"/>
      <c r="I16" s="1"/>
      <c r="J16" s="117"/>
      <c r="K16" s="117"/>
    </row>
    <row r="17" spans="1:11" x14ac:dyDescent="0.25">
      <c r="A17" s="114"/>
      <c r="B17" s="118"/>
      <c r="C17" s="4" t="s">
        <v>8</v>
      </c>
      <c r="D17" s="7">
        <f>'მკურნალობაში ჩართვა-პჯდ'!I6</f>
        <v>181</v>
      </c>
      <c r="E17" s="116"/>
      <c r="F17" s="1"/>
      <c r="G17" s="117"/>
      <c r="H17" s="117"/>
      <c r="I17" s="1"/>
      <c r="J17" s="117"/>
      <c r="K17" s="117"/>
    </row>
    <row r="18" spans="1:11" x14ac:dyDescent="0.25">
      <c r="A18" s="114"/>
      <c r="B18" s="93"/>
      <c r="E18" s="93"/>
      <c r="F18" s="1"/>
      <c r="G18" s="95"/>
      <c r="H18" s="95"/>
      <c r="I18" s="1"/>
      <c r="J18" s="95"/>
      <c r="K18" s="95"/>
    </row>
    <row r="19" spans="1:11" x14ac:dyDescent="0.25">
      <c r="A19" s="114"/>
      <c r="B19" s="93"/>
      <c r="E19" s="93"/>
      <c r="F19" s="1"/>
      <c r="G19" s="95"/>
      <c r="H19" s="95"/>
      <c r="I19" s="1"/>
      <c r="J19" s="95"/>
      <c r="K19" s="95"/>
    </row>
    <row r="20" spans="1:11" x14ac:dyDescent="0.25">
      <c r="A20" s="114"/>
      <c r="B20" s="118" t="s">
        <v>100</v>
      </c>
      <c r="C20" s="4" t="s">
        <v>7</v>
      </c>
      <c r="D20" s="7">
        <f>'მკურნალობაში ჩართვა-პჯდ'!I12</f>
        <v>60</v>
      </c>
      <c r="E20" s="116">
        <f>D20+D22+D21</f>
        <v>301</v>
      </c>
      <c r="F20" s="1"/>
      <c r="G20" s="117">
        <f>(E20-D20-D21)*$G$4</f>
        <v>30.299999999999997</v>
      </c>
      <c r="H20" s="117">
        <f>(E20-D20-D21)*$H$4</f>
        <v>70.699999999999989</v>
      </c>
      <c r="I20" s="1"/>
      <c r="J20" s="117">
        <f>(E20-D20-D21)*$J$4+D20+D21</f>
        <v>270.7</v>
      </c>
      <c r="K20" s="117">
        <f>(E20-D20-D21)*$K$4+D20+D21</f>
        <v>230.3</v>
      </c>
    </row>
    <row r="21" spans="1:11" x14ac:dyDescent="0.25">
      <c r="A21" s="114"/>
      <c r="B21" s="118"/>
      <c r="C21" s="4" t="s">
        <v>9</v>
      </c>
      <c r="D21" s="7">
        <f>'მკურნალობაში ჩართვა-პჯდ'!I13</f>
        <v>140</v>
      </c>
      <c r="E21" s="116"/>
      <c r="F21" s="1"/>
      <c r="G21" s="117"/>
      <c r="H21" s="117"/>
      <c r="I21" s="1"/>
      <c r="J21" s="117"/>
      <c r="K21" s="117"/>
    </row>
    <row r="22" spans="1:11" x14ac:dyDescent="0.25">
      <c r="A22" s="114"/>
      <c r="B22" s="118"/>
      <c r="C22" s="4" t="s">
        <v>8</v>
      </c>
      <c r="D22" s="7">
        <f>'მკურნალობაში ჩართვა-პჯდ'!I14</f>
        <v>101</v>
      </c>
      <c r="E22" s="116"/>
      <c r="F22" s="1"/>
      <c r="G22" s="117"/>
      <c r="H22" s="117"/>
      <c r="I22" s="1"/>
      <c r="J22" s="117"/>
      <c r="K22" s="117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14"/>
      <c r="B24" s="118" t="s">
        <v>11</v>
      </c>
      <c r="C24" s="10" t="s">
        <v>12</v>
      </c>
      <c r="D24" s="5">
        <f>'მონიტორინგი-სტანდარტული'!I10</f>
        <v>227</v>
      </c>
      <c r="E24" s="116">
        <f>AVERAGE(D24:D25)</f>
        <v>222.5</v>
      </c>
      <c r="F24" s="1"/>
      <c r="G24" s="119">
        <f>E24*30%</f>
        <v>66.75</v>
      </c>
      <c r="H24" s="119">
        <f>E24*70%</f>
        <v>155.75</v>
      </c>
      <c r="I24" s="1"/>
      <c r="J24" s="119">
        <f>E24*70%</f>
        <v>155.75</v>
      </c>
      <c r="K24" s="119">
        <f>E24*30%</f>
        <v>66.75</v>
      </c>
    </row>
    <row r="25" spans="1:11" x14ac:dyDescent="0.25">
      <c r="A25" s="114"/>
      <c r="B25" s="118"/>
      <c r="C25" s="11" t="s">
        <v>13</v>
      </c>
      <c r="D25" s="5">
        <f>'მონიტორინგი-სტანდარტული'!I22</f>
        <v>218</v>
      </c>
      <c r="E25" s="116"/>
      <c r="F25" s="1"/>
      <c r="G25" s="120"/>
      <c r="H25" s="120"/>
      <c r="I25" s="1"/>
      <c r="J25" s="120"/>
      <c r="K25" s="120"/>
    </row>
    <row r="26" spans="1:11" x14ac:dyDescent="0.25">
      <c r="A26" s="114"/>
      <c r="E26" s="9"/>
      <c r="F26" s="1"/>
      <c r="I26" s="1"/>
    </row>
    <row r="27" spans="1:11" x14ac:dyDescent="0.25">
      <c r="A27" s="114"/>
      <c r="B27" s="118" t="s">
        <v>14</v>
      </c>
      <c r="C27" s="10" t="s">
        <v>15</v>
      </c>
      <c r="D27" s="5">
        <f>'მონიტორინგი-სტანდარტული'!K36</f>
        <v>286</v>
      </c>
      <c r="E27" s="116">
        <f>AVERAGE(D27:D28)</f>
        <v>281.5</v>
      </c>
      <c r="F27" s="1"/>
      <c r="G27" s="117">
        <f>E27*30%</f>
        <v>84.45</v>
      </c>
      <c r="H27" s="117">
        <f>E27*70%</f>
        <v>197.04999999999998</v>
      </c>
      <c r="I27" s="1"/>
      <c r="J27" s="117">
        <f>E27*70%</f>
        <v>197.04999999999998</v>
      </c>
      <c r="K27" s="117">
        <f>E27*30%</f>
        <v>84.45</v>
      </c>
    </row>
    <row r="28" spans="1:11" x14ac:dyDescent="0.25">
      <c r="A28" s="114"/>
      <c r="B28" s="118"/>
      <c r="C28" s="11" t="s">
        <v>16</v>
      </c>
      <c r="D28" s="5">
        <f>'მონიტორინგი-სტანდარტული'!K49</f>
        <v>277</v>
      </c>
      <c r="E28" s="116"/>
      <c r="F28" s="1"/>
      <c r="G28" s="117"/>
      <c r="H28" s="117"/>
      <c r="I28" s="1"/>
      <c r="J28" s="117"/>
      <c r="K28" s="117"/>
    </row>
    <row r="29" spans="1:11" x14ac:dyDescent="0.25">
      <c r="A29" s="114"/>
      <c r="B29" s="93"/>
      <c r="C29" s="89"/>
      <c r="D29" s="95"/>
      <c r="E29" s="93"/>
      <c r="F29" s="1"/>
      <c r="G29" s="95"/>
      <c r="H29" s="95"/>
      <c r="I29" s="1"/>
      <c r="J29" s="95"/>
      <c r="K29" s="95"/>
    </row>
    <row r="30" spans="1:11" x14ac:dyDescent="0.25">
      <c r="A30" s="114"/>
      <c r="B30" s="124" t="s">
        <v>101</v>
      </c>
      <c r="C30" s="10" t="s">
        <v>12</v>
      </c>
      <c r="D30" s="7">
        <f>'მონიტორინგი-პჯდ'!I7</f>
        <v>102</v>
      </c>
      <c r="E30" s="116">
        <f>AVERAGE(D30:D31)</f>
        <v>88.5</v>
      </c>
      <c r="F30" s="1"/>
      <c r="G30" s="117">
        <f>E30*30%</f>
        <v>26.55</v>
      </c>
      <c r="H30" s="117">
        <f>E30*70%</f>
        <v>61.949999999999996</v>
      </c>
      <c r="I30" s="1"/>
      <c r="J30" s="117">
        <f>E30*70%</f>
        <v>61.949999999999996</v>
      </c>
      <c r="K30" s="117">
        <f>E30*30%</f>
        <v>26.55</v>
      </c>
    </row>
    <row r="31" spans="1:11" x14ac:dyDescent="0.25">
      <c r="A31" s="114"/>
      <c r="B31" s="124"/>
      <c r="C31" s="10" t="s">
        <v>13</v>
      </c>
      <c r="D31" s="96">
        <f>'მონიტორინგი-პჯდ'!I16</f>
        <v>75</v>
      </c>
      <c r="E31" s="116"/>
      <c r="F31" s="1"/>
      <c r="G31" s="117"/>
      <c r="H31" s="117"/>
      <c r="I31" s="1"/>
      <c r="J31" s="117"/>
      <c r="K31" s="117"/>
    </row>
    <row r="32" spans="1:11" x14ac:dyDescent="0.25">
      <c r="A32" s="114"/>
      <c r="C32" s="11"/>
      <c r="E32" s="9"/>
      <c r="F32" s="1"/>
      <c r="I32" s="1"/>
    </row>
    <row r="33" spans="1:11" x14ac:dyDescent="0.25">
      <c r="A33" s="114"/>
      <c r="B33" s="12" t="s">
        <v>17</v>
      </c>
      <c r="C33" s="4" t="s">
        <v>18</v>
      </c>
      <c r="D33" s="13">
        <f>'[1]მონიტორინგის კვლევების ჯგუფები'!E11</f>
        <v>130</v>
      </c>
      <c r="E33" s="14">
        <v>130</v>
      </c>
      <c r="F33" s="1"/>
      <c r="G33" s="5">
        <v>0</v>
      </c>
      <c r="H33" s="5">
        <v>0</v>
      </c>
      <c r="I33" s="1"/>
      <c r="J33" s="5">
        <f>E33</f>
        <v>130</v>
      </c>
      <c r="K33" s="5">
        <f>E33</f>
        <v>130</v>
      </c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22" t="s">
        <v>19</v>
      </c>
      <c r="B35" s="118" t="s">
        <v>20</v>
      </c>
      <c r="C35" s="4" t="s">
        <v>21</v>
      </c>
      <c r="D35" s="5">
        <f>E5+E24+E33</f>
        <v>781.5</v>
      </c>
      <c r="E35" s="116">
        <f>AVERAGE(D35:D36)</f>
        <v>741.5</v>
      </c>
      <c r="F35" s="1"/>
      <c r="G35" s="117">
        <f>(E35-E33-D5-D6)*G4</f>
        <v>123.44999999999999</v>
      </c>
      <c r="H35" s="117">
        <f>(E35-E33-D5-D6)*H4</f>
        <v>288.04999999999995</v>
      </c>
      <c r="I35" s="1"/>
      <c r="J35" s="117">
        <f>(E35-E33-D5-D6)*J4+E33+D5+D6</f>
        <v>618.04999999999995</v>
      </c>
      <c r="K35" s="117">
        <f>(E35-E33-D5-D6)*K4+E33+D5+D6</f>
        <v>453.45</v>
      </c>
    </row>
    <row r="36" spans="1:11" x14ac:dyDescent="0.25">
      <c r="A36" s="123"/>
      <c r="B36" s="118"/>
      <c r="C36" s="4" t="s">
        <v>22</v>
      </c>
      <c r="D36" s="5">
        <f>E10+E24+E33</f>
        <v>701.5</v>
      </c>
      <c r="E36" s="116"/>
      <c r="F36" s="1"/>
      <c r="G36" s="117"/>
      <c r="H36" s="117"/>
      <c r="I36" s="1"/>
      <c r="J36" s="117"/>
      <c r="K36" s="117"/>
    </row>
    <row r="37" spans="1:11" x14ac:dyDescent="0.25">
      <c r="A37" s="123"/>
      <c r="B37" s="9"/>
      <c r="D37" s="8"/>
      <c r="E37" s="9"/>
      <c r="F37" s="1"/>
      <c r="I37" s="1"/>
    </row>
    <row r="38" spans="1:11" x14ac:dyDescent="0.25">
      <c r="A38" s="123"/>
      <c r="B38" s="118" t="s">
        <v>23</v>
      </c>
      <c r="C38" s="4" t="s">
        <v>24</v>
      </c>
      <c r="D38" s="5">
        <f>E5+E27+E33</f>
        <v>840.5</v>
      </c>
      <c r="E38" s="116">
        <f>AVERAGE(D38:D39)</f>
        <v>800.5</v>
      </c>
      <c r="F38" s="1"/>
      <c r="G38" s="117">
        <f>(E38-E33-D5-D6)*G4</f>
        <v>141.15</v>
      </c>
      <c r="H38" s="117">
        <f>(E38-E33-D5-D6)*H4</f>
        <v>329.34999999999997</v>
      </c>
      <c r="I38" s="1"/>
      <c r="J38" s="117">
        <f>(E38-E33-D5-D6)*J4+E33+D5+D6</f>
        <v>659.34999999999991</v>
      </c>
      <c r="K38" s="117">
        <f>(E38-E33-D5-D6)*K4+E33+D5+D6</f>
        <v>471.15</v>
      </c>
    </row>
    <row r="39" spans="1:11" x14ac:dyDescent="0.25">
      <c r="A39" s="123"/>
      <c r="B39" s="118"/>
      <c r="C39" s="4" t="s">
        <v>25</v>
      </c>
      <c r="D39" s="5">
        <f>E10+E27+E33</f>
        <v>760.5</v>
      </c>
      <c r="E39" s="116"/>
      <c r="F39" s="1"/>
      <c r="G39" s="117"/>
      <c r="H39" s="117"/>
      <c r="I39" s="1"/>
      <c r="J39" s="117"/>
      <c r="K39" s="117"/>
    </row>
    <row r="40" spans="1:11" x14ac:dyDescent="0.25">
      <c r="A40" s="123"/>
      <c r="B40" s="93"/>
      <c r="C40" s="94"/>
      <c r="D40" s="95"/>
      <c r="E40" s="93"/>
      <c r="F40" s="1"/>
      <c r="G40" s="95"/>
      <c r="H40" s="95"/>
      <c r="I40" s="1"/>
      <c r="J40" s="95"/>
      <c r="K40" s="95"/>
    </row>
    <row r="41" spans="1:11" x14ac:dyDescent="0.25">
      <c r="A41" s="123"/>
      <c r="B41" s="12" t="s">
        <v>102</v>
      </c>
      <c r="C41" s="4" t="s">
        <v>104</v>
      </c>
      <c r="D41" s="7">
        <f>E15+E30+E33</f>
        <v>599.5</v>
      </c>
      <c r="E41" s="6">
        <f>AVERAGE(D41:D41)</f>
        <v>599.5</v>
      </c>
      <c r="F41" s="1"/>
      <c r="G41" s="7">
        <f>(E41-E33-D5-D6)*G4</f>
        <v>80.849999999999994</v>
      </c>
      <c r="H41" s="7">
        <f>(E41-E33-D5-D6)*H4</f>
        <v>188.64999999999998</v>
      </c>
      <c r="I41" s="1"/>
      <c r="J41" s="7">
        <f>(E41-E33-D5-D6)*J4+E33+D5+D6</f>
        <v>518.65</v>
      </c>
      <c r="K41" s="7">
        <f>(E41-E33-D5-D6)*K4+E33+D5+D6</f>
        <v>410.85</v>
      </c>
    </row>
    <row r="42" spans="1:11" x14ac:dyDescent="0.25">
      <c r="A42" s="123"/>
      <c r="B42" s="93"/>
      <c r="C42" s="94"/>
      <c r="D42" s="95"/>
      <c r="E42" s="93"/>
      <c r="F42" s="1"/>
      <c r="G42" s="95"/>
      <c r="H42" s="95"/>
      <c r="I42" s="1"/>
      <c r="J42" s="7"/>
      <c r="K42" s="95"/>
    </row>
    <row r="43" spans="1:11" x14ac:dyDescent="0.25">
      <c r="A43" s="123"/>
      <c r="B43" s="12" t="s">
        <v>103</v>
      </c>
      <c r="C43" s="4" t="s">
        <v>105</v>
      </c>
      <c r="D43" s="7">
        <f>E20+E30+E33</f>
        <v>519.5</v>
      </c>
      <c r="E43" s="6">
        <f>AVERAGE(D43:D43)</f>
        <v>519.5</v>
      </c>
      <c r="F43" s="1"/>
      <c r="G43" s="7">
        <f>(E43-E33-D5-D6)*G4</f>
        <v>56.85</v>
      </c>
      <c r="H43" s="7">
        <f>(E43-E33-D5-D6)*H4</f>
        <v>132.65</v>
      </c>
      <c r="I43" s="1"/>
      <c r="J43" s="7">
        <f>(E43-E33-D5-D6)*J4+E33+D5+D6</f>
        <v>462.65</v>
      </c>
      <c r="K43" s="7">
        <f>(E43-E33-D5-D6)*K4+D5+D6+E33</f>
        <v>386.85</v>
      </c>
    </row>
    <row r="44" spans="1:11" x14ac:dyDescent="0.25">
      <c r="A44" s="15"/>
      <c r="B44" s="16"/>
      <c r="C44" s="17"/>
      <c r="D44" s="18"/>
      <c r="E44" s="16"/>
      <c r="F44" s="1"/>
      <c r="G44" s="18"/>
      <c r="H44" s="18"/>
      <c r="I44" s="1"/>
      <c r="J44" s="1"/>
      <c r="K44" s="1"/>
    </row>
    <row r="45" spans="1:11" x14ac:dyDescent="0.25">
      <c r="F45" s="1"/>
      <c r="G45" s="121" t="s">
        <v>26</v>
      </c>
      <c r="H45" s="121"/>
      <c r="I45" s="1"/>
      <c r="J45" s="121" t="s">
        <v>27</v>
      </c>
      <c r="K45" s="121"/>
    </row>
    <row r="46" spans="1:11" ht="9" customHeight="1" x14ac:dyDescent="0.25">
      <c r="F46" s="1"/>
      <c r="G46" s="19" t="s">
        <v>3</v>
      </c>
      <c r="H46" s="19" t="s">
        <v>4</v>
      </c>
      <c r="I46" s="1"/>
      <c r="J46" s="19" t="s">
        <v>3</v>
      </c>
      <c r="K46" s="19" t="s">
        <v>4</v>
      </c>
    </row>
    <row r="47" spans="1:11" ht="21" customHeight="1" x14ac:dyDescent="0.25">
      <c r="A47" s="125" t="s">
        <v>19</v>
      </c>
      <c r="B47" s="5" t="s">
        <v>20</v>
      </c>
      <c r="C47" s="127" t="s">
        <v>28</v>
      </c>
      <c r="D47" s="128"/>
      <c r="E47" s="5">
        <f>E35</f>
        <v>741.5</v>
      </c>
      <c r="F47" s="1"/>
      <c r="G47" s="5">
        <f>(E47-E33-D6-D5)*G4</f>
        <v>123.44999999999999</v>
      </c>
      <c r="H47" s="5">
        <f>(E47-E33-D6-D5)*H4</f>
        <v>288.04999999999995</v>
      </c>
      <c r="I47" s="1"/>
      <c r="J47" s="5">
        <f>E47-G47</f>
        <v>618.04999999999995</v>
      </c>
      <c r="K47" s="5">
        <f>E47-H47</f>
        <v>453.45000000000005</v>
      </c>
    </row>
    <row r="48" spans="1:11" ht="29.25" customHeight="1" x14ac:dyDescent="0.25">
      <c r="A48" s="126"/>
      <c r="B48" s="5" t="s">
        <v>23</v>
      </c>
      <c r="C48" s="127" t="s">
        <v>29</v>
      </c>
      <c r="D48" s="128"/>
      <c r="E48" s="5">
        <f>E38</f>
        <v>800.5</v>
      </c>
      <c r="F48" s="1"/>
      <c r="G48" s="5">
        <f>(E48-E33-D11-D10)*G4</f>
        <v>141.15</v>
      </c>
      <c r="H48" s="5">
        <f>(E48-D33-D11-D10)*H4</f>
        <v>329.34999999999997</v>
      </c>
      <c r="I48" s="1"/>
      <c r="J48" s="5">
        <f>E48-G48</f>
        <v>659.35</v>
      </c>
      <c r="K48" s="104">
        <f t="shared" ref="K48:K49" si="0">E48-H48</f>
        <v>471.15000000000003</v>
      </c>
    </row>
    <row r="49" spans="1:15" ht="33.75" customHeight="1" x14ac:dyDescent="0.25">
      <c r="A49" s="126"/>
      <c r="B49" s="7" t="s">
        <v>102</v>
      </c>
      <c r="C49" s="117" t="s">
        <v>28</v>
      </c>
      <c r="D49" s="117"/>
      <c r="E49" s="7">
        <f>AVERAGE(E41,E43)</f>
        <v>559.5</v>
      </c>
      <c r="F49" s="1"/>
      <c r="G49" s="7">
        <f>(E49-D33-D11-D10)*G4</f>
        <v>68.849999999999994</v>
      </c>
      <c r="H49" s="7">
        <f>(E49-E33-D11-D10)*H4</f>
        <v>160.64999999999998</v>
      </c>
      <c r="I49" s="1"/>
      <c r="J49" s="104">
        <f>E49-G49</f>
        <v>490.65</v>
      </c>
      <c r="K49" s="104">
        <f t="shared" si="0"/>
        <v>398.85</v>
      </c>
    </row>
    <row r="50" spans="1:15" x14ac:dyDescent="0.25">
      <c r="A50" s="15"/>
      <c r="B50" s="16"/>
      <c r="C50" s="17"/>
      <c r="D50" s="18"/>
      <c r="E50" s="16"/>
      <c r="F50" s="1"/>
      <c r="G50" s="18"/>
      <c r="H50" s="18"/>
      <c r="I50" s="1"/>
      <c r="J50" s="1"/>
      <c r="K50" s="1"/>
    </row>
    <row r="51" spans="1:15" ht="15" customHeight="1" x14ac:dyDescent="0.25">
      <c r="A51" s="129" t="s">
        <v>30</v>
      </c>
      <c r="B51" s="4"/>
      <c r="C51" s="20" t="s">
        <v>31</v>
      </c>
      <c r="D51" s="20" t="s">
        <v>3</v>
      </c>
      <c r="E51" s="20" t="s">
        <v>4</v>
      </c>
      <c r="F51" s="8"/>
    </row>
    <row r="52" spans="1:15" ht="31.5" customHeight="1" x14ac:dyDescent="0.25">
      <c r="A52" s="130"/>
      <c r="B52" s="21" t="s">
        <v>32</v>
      </c>
      <c r="C52" s="5">
        <v>1000</v>
      </c>
      <c r="D52" s="5">
        <f>C52*10%</f>
        <v>100</v>
      </c>
      <c r="E52" s="5">
        <f>C52*90%</f>
        <v>900</v>
      </c>
    </row>
    <row r="53" spans="1:15" ht="36" customHeight="1" x14ac:dyDescent="0.25">
      <c r="A53" s="130"/>
      <c r="B53" s="21" t="s">
        <v>28</v>
      </c>
      <c r="C53" s="5">
        <f>C52*60%</f>
        <v>600</v>
      </c>
      <c r="D53" s="5">
        <f>D52*60%</f>
        <v>60</v>
      </c>
      <c r="E53" s="5">
        <f>E52*60%</f>
        <v>540</v>
      </c>
      <c r="H53" s="22"/>
      <c r="M53" s="23"/>
    </row>
    <row r="54" spans="1:15" ht="34.5" x14ac:dyDescent="0.25">
      <c r="A54" s="130"/>
      <c r="B54" s="21" t="s">
        <v>29</v>
      </c>
      <c r="C54" s="5">
        <f>C52*10%</f>
        <v>100</v>
      </c>
      <c r="D54" s="5">
        <f>D52*10%</f>
        <v>10</v>
      </c>
      <c r="E54" s="5">
        <f>E52*10%</f>
        <v>90</v>
      </c>
      <c r="H54" s="23"/>
    </row>
    <row r="55" spans="1:15" ht="23.25" x14ac:dyDescent="0.25">
      <c r="A55" s="130"/>
      <c r="B55" s="21" t="s">
        <v>106</v>
      </c>
      <c r="C55" s="7">
        <f>C52*30%</f>
        <v>300</v>
      </c>
      <c r="D55" s="7">
        <f>D52*30%</f>
        <v>30</v>
      </c>
      <c r="E55" s="7">
        <f>E52*30%</f>
        <v>270</v>
      </c>
      <c r="G55" s="22"/>
      <c r="H55" s="23"/>
    </row>
    <row r="56" spans="1:15" x14ac:dyDescent="0.25">
      <c r="A56" s="1"/>
      <c r="B56" s="1"/>
      <c r="C56" s="1"/>
      <c r="D56" s="1"/>
      <c r="E56" s="1"/>
      <c r="G56" s="23"/>
    </row>
    <row r="57" spans="1:15" x14ac:dyDescent="0.25">
      <c r="A57" s="131" t="s">
        <v>33</v>
      </c>
      <c r="C57" s="20" t="s">
        <v>34</v>
      </c>
      <c r="D57" s="24" t="s">
        <v>3</v>
      </c>
      <c r="E57" s="20" t="s">
        <v>4</v>
      </c>
      <c r="G57" s="23"/>
    </row>
    <row r="58" spans="1:15" ht="34.5" x14ac:dyDescent="0.25">
      <c r="A58" s="131"/>
      <c r="B58" s="25" t="s">
        <v>28</v>
      </c>
      <c r="C58" s="26">
        <f>D58+E58</f>
        <v>162953.99999999997</v>
      </c>
      <c r="D58" s="27">
        <f t="shared" ref="D58:E60" si="1">D53*G47</f>
        <v>7406.9999999999991</v>
      </c>
      <c r="E58" s="27">
        <f t="shared" si="1"/>
        <v>155546.99999999997</v>
      </c>
      <c r="G58" s="22"/>
      <c r="H58" s="23"/>
      <c r="J58" s="23"/>
      <c r="K58" s="28"/>
      <c r="L58" s="23"/>
      <c r="M58" s="29"/>
      <c r="O58" s="23"/>
    </row>
    <row r="59" spans="1:15" ht="34.5" x14ac:dyDescent="0.25">
      <c r="A59" s="131"/>
      <c r="B59" s="25" t="s">
        <v>29</v>
      </c>
      <c r="C59" s="26">
        <f>D59+E59</f>
        <v>31052.999999999996</v>
      </c>
      <c r="D59" s="27">
        <f t="shared" si="1"/>
        <v>1411.5</v>
      </c>
      <c r="E59" s="27">
        <f t="shared" si="1"/>
        <v>29641.499999999996</v>
      </c>
      <c r="G59" s="23"/>
      <c r="H59" s="23"/>
      <c r="J59" s="23"/>
      <c r="K59" s="28"/>
      <c r="L59" s="23"/>
    </row>
    <row r="60" spans="1:15" ht="23.25" x14ac:dyDescent="0.25">
      <c r="A60" s="131"/>
      <c r="B60" s="25" t="s">
        <v>106</v>
      </c>
      <c r="C60" s="26">
        <f>D60+E60</f>
        <v>45440.999999999993</v>
      </c>
      <c r="D60" s="27">
        <f t="shared" si="1"/>
        <v>2065.5</v>
      </c>
      <c r="E60" s="27">
        <f t="shared" si="1"/>
        <v>43375.499999999993</v>
      </c>
      <c r="G60" s="23"/>
      <c r="H60" s="23"/>
      <c r="J60" s="23"/>
      <c r="K60" s="28"/>
      <c r="L60" s="23"/>
    </row>
    <row r="61" spans="1:15" x14ac:dyDescent="0.25">
      <c r="A61" s="131"/>
      <c r="B61" s="30" t="s">
        <v>35</v>
      </c>
      <c r="C61" s="31">
        <f>C58+C59+C60</f>
        <v>239447.99999999997</v>
      </c>
      <c r="D61" s="26">
        <f>D58+D59+D60</f>
        <v>10884</v>
      </c>
      <c r="E61" s="32">
        <f>E58+E59+E60</f>
        <v>228563.99999999997</v>
      </c>
      <c r="G61" s="22"/>
      <c r="H61" s="23"/>
      <c r="J61" s="23"/>
      <c r="K61" s="33"/>
      <c r="L61" s="23"/>
    </row>
    <row r="62" spans="1:15" x14ac:dyDescent="0.25">
      <c r="A62" s="1"/>
      <c r="B62" s="1"/>
      <c r="C62" s="1"/>
      <c r="D62" s="1"/>
      <c r="E62" s="1"/>
      <c r="G62" s="23"/>
      <c r="L62" s="23"/>
    </row>
    <row r="63" spans="1:15" x14ac:dyDescent="0.25">
      <c r="A63" s="114" t="s">
        <v>36</v>
      </c>
      <c r="C63" s="20" t="s">
        <v>34</v>
      </c>
      <c r="D63" s="24" t="s">
        <v>3</v>
      </c>
      <c r="E63" s="20" t="s">
        <v>4</v>
      </c>
      <c r="G63" s="23"/>
      <c r="L63" s="23"/>
    </row>
    <row r="64" spans="1:15" ht="34.5" x14ac:dyDescent="0.25">
      <c r="A64" s="114"/>
      <c r="B64" s="25" t="s">
        <v>28</v>
      </c>
      <c r="C64" s="26">
        <f>D64+E64</f>
        <v>281946</v>
      </c>
      <c r="D64" s="27">
        <f t="shared" ref="D64:E66" si="2">D53*J47</f>
        <v>37083</v>
      </c>
      <c r="E64" s="27">
        <f t="shared" si="2"/>
        <v>244863.00000000003</v>
      </c>
      <c r="G64" s="29"/>
      <c r="H64" s="23"/>
      <c r="J64" s="29"/>
      <c r="L64" s="23"/>
      <c r="M64" s="23"/>
      <c r="O64" s="23"/>
    </row>
    <row r="65" spans="1:15" ht="34.5" x14ac:dyDescent="0.25">
      <c r="A65" s="114"/>
      <c r="B65" s="25" t="s">
        <v>29</v>
      </c>
      <c r="C65" s="26">
        <f>D65+E65</f>
        <v>48997</v>
      </c>
      <c r="D65" s="27">
        <f t="shared" si="2"/>
        <v>6593.5</v>
      </c>
      <c r="E65" s="27">
        <f t="shared" si="2"/>
        <v>42403.5</v>
      </c>
      <c r="G65" s="29"/>
      <c r="H65" s="23"/>
      <c r="J65" s="29"/>
      <c r="L65" s="29"/>
      <c r="M65" s="29"/>
      <c r="O65" s="23"/>
    </row>
    <row r="66" spans="1:15" ht="23.25" x14ac:dyDescent="0.25">
      <c r="A66" s="114"/>
      <c r="B66" s="25" t="s">
        <v>106</v>
      </c>
      <c r="C66" s="26">
        <f>D66+E66</f>
        <v>122409</v>
      </c>
      <c r="D66" s="27">
        <f t="shared" si="2"/>
        <v>14719.5</v>
      </c>
      <c r="E66" s="27">
        <f t="shared" si="2"/>
        <v>107689.5</v>
      </c>
      <c r="G66" s="29"/>
      <c r="H66" s="23"/>
      <c r="J66" s="29"/>
      <c r="L66" s="29"/>
      <c r="M66" s="29"/>
      <c r="O66" s="23"/>
    </row>
    <row r="67" spans="1:15" ht="23.25" x14ac:dyDescent="0.25">
      <c r="A67" s="114"/>
      <c r="B67" s="30" t="s">
        <v>37</v>
      </c>
      <c r="C67" s="31">
        <f>C64+C65+C66</f>
        <v>453352</v>
      </c>
      <c r="D67" s="32">
        <f>D64+D65+D66</f>
        <v>58396</v>
      </c>
      <c r="E67" s="32">
        <f>E64+E65+E66</f>
        <v>394956</v>
      </c>
      <c r="F67" s="34"/>
      <c r="G67" s="29"/>
      <c r="H67" s="23"/>
      <c r="J67" s="29"/>
      <c r="K67" s="29"/>
      <c r="L67" s="23"/>
      <c r="M67" s="29"/>
    </row>
    <row r="68" spans="1:15" x14ac:dyDescent="0.25">
      <c r="A68" s="114"/>
      <c r="B68" s="30"/>
      <c r="C68" s="31"/>
      <c r="D68" s="26"/>
      <c r="E68" s="26"/>
      <c r="G68" s="29"/>
      <c r="H68" s="23"/>
      <c r="J68" s="29"/>
      <c r="K68" s="29"/>
      <c r="L68" s="23"/>
      <c r="M68" s="29"/>
      <c r="N68" s="23"/>
      <c r="O68" s="23"/>
    </row>
    <row r="69" spans="1:15" ht="23.25" x14ac:dyDescent="0.25">
      <c r="A69" s="114"/>
      <c r="B69" s="30" t="s">
        <v>38</v>
      </c>
      <c r="C69" s="31">
        <f>C52*50</f>
        <v>50000</v>
      </c>
      <c r="D69" s="26"/>
      <c r="E69" s="26"/>
      <c r="G69" s="29"/>
      <c r="H69" s="23"/>
      <c r="J69" s="23"/>
      <c r="M69" s="29"/>
      <c r="O69" s="23"/>
    </row>
    <row r="70" spans="1:15" ht="15.75" x14ac:dyDescent="0.25">
      <c r="A70" s="114"/>
      <c r="B70" s="30" t="s">
        <v>35</v>
      </c>
      <c r="C70" s="35">
        <f>C67+C69+E73</f>
        <v>581352</v>
      </c>
      <c r="D70" s="26"/>
      <c r="E70" s="26"/>
      <c r="G70" s="29"/>
      <c r="H70" s="23"/>
      <c r="J70" s="22"/>
      <c r="K70" s="29"/>
      <c r="O70" s="23"/>
    </row>
    <row r="71" spans="1:15" x14ac:dyDescent="0.25">
      <c r="A71" s="1"/>
      <c r="B71" s="1"/>
      <c r="C71" s="1"/>
      <c r="D71" s="1"/>
      <c r="E71" s="1"/>
      <c r="G71" s="29"/>
      <c r="H71" s="23"/>
      <c r="J71" s="23"/>
      <c r="K71" s="29"/>
      <c r="L71" s="23"/>
      <c r="M71" s="23"/>
    </row>
    <row r="72" spans="1:15" x14ac:dyDescent="0.25">
      <c r="G72" s="29"/>
    </row>
    <row r="73" spans="1:15" ht="34.5" x14ac:dyDescent="0.25">
      <c r="B73" s="36" t="s">
        <v>39</v>
      </c>
      <c r="C73">
        <v>1300</v>
      </c>
      <c r="D73">
        <v>60</v>
      </c>
      <c r="E73">
        <f>C73*D73</f>
        <v>78000</v>
      </c>
      <c r="H73" s="23"/>
      <c r="J73" s="23"/>
      <c r="K73" s="23"/>
      <c r="L73" s="23"/>
    </row>
    <row r="74" spans="1:15" x14ac:dyDescent="0.25">
      <c r="H74" s="23"/>
    </row>
    <row r="75" spans="1:15" ht="18.75" x14ac:dyDescent="0.3">
      <c r="B75" s="37" t="s">
        <v>40</v>
      </c>
      <c r="C75" s="38">
        <f>C61+C70+E73</f>
        <v>898800</v>
      </c>
      <c r="D75" s="23"/>
      <c r="H75" s="23"/>
      <c r="J75" s="23"/>
    </row>
    <row r="76" spans="1:15" ht="27" x14ac:dyDescent="0.3">
      <c r="B76" s="37" t="s">
        <v>41</v>
      </c>
      <c r="C76" s="38">
        <f>C70+E73</f>
        <v>659352</v>
      </c>
      <c r="D76" s="23"/>
      <c r="G76" s="23"/>
      <c r="H76" s="23"/>
      <c r="J76" s="23"/>
      <c r="K76" s="23"/>
      <c r="L76" s="23"/>
      <c r="O76" s="23"/>
    </row>
    <row r="77" spans="1:15" x14ac:dyDescent="0.25">
      <c r="C77" s="23"/>
      <c r="H77" s="23"/>
      <c r="K77" s="23"/>
    </row>
    <row r="78" spans="1:15" x14ac:dyDescent="0.25">
      <c r="C78" s="23"/>
      <c r="D78" s="23"/>
      <c r="E78" s="23"/>
      <c r="G78" s="23"/>
      <c r="H78" s="23"/>
      <c r="J78" s="23"/>
      <c r="K78" s="23"/>
    </row>
    <row r="79" spans="1:15" x14ac:dyDescent="0.25">
      <c r="C79" s="29"/>
      <c r="D79" s="23"/>
      <c r="E79" s="23"/>
      <c r="H79" s="23"/>
      <c r="M79" s="23"/>
      <c r="O79" s="23"/>
    </row>
    <row r="80" spans="1:15" x14ac:dyDescent="0.25">
      <c r="C80" s="23"/>
      <c r="G80" s="23"/>
    </row>
    <row r="81" spans="3:13" x14ac:dyDescent="0.25">
      <c r="C81" s="23"/>
      <c r="G81" s="29"/>
      <c r="M81" s="23"/>
    </row>
    <row r="82" spans="3:13" x14ac:dyDescent="0.25">
      <c r="C82" s="23"/>
    </row>
    <row r="83" spans="3:13" x14ac:dyDescent="0.25">
      <c r="C83" s="23"/>
      <c r="G83" s="23"/>
    </row>
    <row r="84" spans="3:13" x14ac:dyDescent="0.25">
      <c r="G84" s="23"/>
      <c r="H84" s="23"/>
      <c r="K84" s="23"/>
    </row>
    <row r="85" spans="3:13" x14ac:dyDescent="0.25">
      <c r="C85" s="23"/>
    </row>
    <row r="86" spans="3:13" x14ac:dyDescent="0.25">
      <c r="K86" s="23"/>
    </row>
  </sheetData>
  <mergeCells count="70">
    <mergeCell ref="A57:A61"/>
    <mergeCell ref="A63:A70"/>
    <mergeCell ref="G45:H45"/>
    <mergeCell ref="J45:K45"/>
    <mergeCell ref="C47:D47"/>
    <mergeCell ref="C48:D48"/>
    <mergeCell ref="A47:A49"/>
    <mergeCell ref="C49:D49"/>
    <mergeCell ref="A51:A55"/>
    <mergeCell ref="K35:K36"/>
    <mergeCell ref="B38:B39"/>
    <mergeCell ref="E38:E39"/>
    <mergeCell ref="G38:G39"/>
    <mergeCell ref="H38:H39"/>
    <mergeCell ref="J38:J39"/>
    <mergeCell ref="K38:K39"/>
    <mergeCell ref="J35:J36"/>
    <mergeCell ref="A35:A43"/>
    <mergeCell ref="B35:B36"/>
    <mergeCell ref="E35:E36"/>
    <mergeCell ref="G35:G36"/>
    <mergeCell ref="H35:H36"/>
    <mergeCell ref="A24:A33"/>
    <mergeCell ref="B24:B25"/>
    <mergeCell ref="E24:E25"/>
    <mergeCell ref="G24:G25"/>
    <mergeCell ref="H24:H25"/>
    <mergeCell ref="B27:B28"/>
    <mergeCell ref="E27:E28"/>
    <mergeCell ref="G27:G28"/>
    <mergeCell ref="H27:H28"/>
    <mergeCell ref="K5:K7"/>
    <mergeCell ref="B10:B12"/>
    <mergeCell ref="E10:E12"/>
    <mergeCell ref="G10:G12"/>
    <mergeCell ref="H10:H12"/>
    <mergeCell ref="J10:J12"/>
    <mergeCell ref="K10:K12"/>
    <mergeCell ref="A1:K1"/>
    <mergeCell ref="G2:H2"/>
    <mergeCell ref="J2:K2"/>
    <mergeCell ref="D4:E4"/>
    <mergeCell ref="A5:A22"/>
    <mergeCell ref="B5:B7"/>
    <mergeCell ref="E5:E7"/>
    <mergeCell ref="G5:G7"/>
    <mergeCell ref="H5:H7"/>
    <mergeCell ref="J5:J7"/>
    <mergeCell ref="B15:B17"/>
    <mergeCell ref="E15:E17"/>
    <mergeCell ref="G15:G17"/>
    <mergeCell ref="H15:H17"/>
    <mergeCell ref="J15:J17"/>
    <mergeCell ref="K15:K17"/>
    <mergeCell ref="K20:K22"/>
    <mergeCell ref="B30:B31"/>
    <mergeCell ref="E30:E31"/>
    <mergeCell ref="G30:G31"/>
    <mergeCell ref="H30:H31"/>
    <mergeCell ref="J30:J31"/>
    <mergeCell ref="K30:K31"/>
    <mergeCell ref="B20:B22"/>
    <mergeCell ref="E20:E22"/>
    <mergeCell ref="G20:G22"/>
    <mergeCell ref="H20:H22"/>
    <mergeCell ref="J20:J22"/>
    <mergeCell ref="K24:K25"/>
    <mergeCell ref="J27:J28"/>
    <mergeCell ref="K27:K28"/>
    <mergeCell ref="J24:J2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5"/>
  <sheetViews>
    <sheetView workbookViewId="0">
      <selection activeCell="H19" sqref="H19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</cols>
  <sheetData>
    <row r="3" spans="3:9" ht="30" x14ac:dyDescent="0.25">
      <c r="C3" s="86" t="s">
        <v>87</v>
      </c>
      <c r="D3" s="86" t="s">
        <v>85</v>
      </c>
      <c r="E3" s="86" t="s">
        <v>86</v>
      </c>
      <c r="H3" s="88" t="s">
        <v>91</v>
      </c>
      <c r="I3" s="88" t="s">
        <v>92</v>
      </c>
    </row>
    <row r="4" spans="3:9" x14ac:dyDescent="0.25">
      <c r="C4" s="71">
        <v>1</v>
      </c>
      <c r="D4" s="72" t="s">
        <v>52</v>
      </c>
      <c r="E4" s="73">
        <v>20</v>
      </c>
      <c r="H4" s="4" t="s">
        <v>7</v>
      </c>
      <c r="I4" s="4">
        <f>E5</f>
        <v>60</v>
      </c>
    </row>
    <row r="5" spans="3:9" ht="15.75" thickBot="1" x14ac:dyDescent="0.3">
      <c r="C5" s="74">
        <v>2</v>
      </c>
      <c r="D5" s="75" t="s">
        <v>88</v>
      </c>
      <c r="E5" s="76">
        <v>60</v>
      </c>
      <c r="H5" s="4" t="s">
        <v>89</v>
      </c>
      <c r="I5" s="4">
        <f>E12</f>
        <v>140</v>
      </c>
    </row>
    <row r="6" spans="3:9" ht="15.75" thickBot="1" x14ac:dyDescent="0.3">
      <c r="C6" s="74">
        <v>3</v>
      </c>
      <c r="D6" s="77" t="s">
        <v>70</v>
      </c>
      <c r="E6" s="78"/>
      <c r="H6" s="4" t="s">
        <v>90</v>
      </c>
      <c r="I6" s="4">
        <f>E4+E7+E8+E9+E10+E13+E14+E15+E16+E17+E18+E19+E20+E21+E22+E23+E24</f>
        <v>229</v>
      </c>
    </row>
    <row r="7" spans="3:9" ht="15.75" thickBot="1" x14ac:dyDescent="0.3">
      <c r="C7" s="74"/>
      <c r="D7" s="79" t="s">
        <v>55</v>
      </c>
      <c r="E7" s="76">
        <v>5</v>
      </c>
      <c r="H7" s="90" t="s">
        <v>94</v>
      </c>
      <c r="I7" s="91">
        <f>I4+I5+I6</f>
        <v>429</v>
      </c>
    </row>
    <row r="8" spans="3:9" ht="15.75" thickBot="1" x14ac:dyDescent="0.3">
      <c r="C8" s="74"/>
      <c r="D8" s="79" t="s">
        <v>56</v>
      </c>
      <c r="E8" s="76">
        <v>5</v>
      </c>
    </row>
    <row r="9" spans="3:9" ht="15.75" thickBot="1" x14ac:dyDescent="0.3">
      <c r="C9" s="74"/>
      <c r="D9" s="79" t="s">
        <v>54</v>
      </c>
      <c r="E9" s="76">
        <v>9</v>
      </c>
    </row>
    <row r="10" spans="3:9" ht="15.75" thickBot="1" x14ac:dyDescent="0.3">
      <c r="C10" s="74">
        <v>4</v>
      </c>
      <c r="D10" s="75" t="s">
        <v>71</v>
      </c>
      <c r="E10" s="76">
        <v>80</v>
      </c>
    </row>
    <row r="11" spans="3:9" ht="15.75" thickBot="1" x14ac:dyDescent="0.3">
      <c r="C11" s="80"/>
      <c r="D11" s="81"/>
      <c r="E11" s="81"/>
      <c r="H11" s="88" t="s">
        <v>93</v>
      </c>
      <c r="I11" s="88" t="s">
        <v>92</v>
      </c>
    </row>
    <row r="12" spans="3:9" ht="15.75" thickBot="1" x14ac:dyDescent="0.3">
      <c r="C12" s="74">
        <v>5</v>
      </c>
      <c r="D12" s="77" t="s">
        <v>72</v>
      </c>
      <c r="E12" s="76">
        <v>140</v>
      </c>
      <c r="H12" s="4" t="s">
        <v>7</v>
      </c>
      <c r="I12" s="4">
        <f>E5</f>
        <v>60</v>
      </c>
    </row>
    <row r="13" spans="3:9" ht="15.75" thickBot="1" x14ac:dyDescent="0.3">
      <c r="C13" s="74">
        <v>6</v>
      </c>
      <c r="D13" s="77" t="s">
        <v>73</v>
      </c>
      <c r="E13" s="76">
        <v>8</v>
      </c>
      <c r="H13" s="4" t="s">
        <v>89</v>
      </c>
      <c r="I13" s="4">
        <f>E12</f>
        <v>140</v>
      </c>
    </row>
    <row r="14" spans="3:9" ht="15.75" thickBot="1" x14ac:dyDescent="0.3">
      <c r="C14" s="74">
        <v>7</v>
      </c>
      <c r="D14" s="77" t="s">
        <v>74</v>
      </c>
      <c r="E14" s="76">
        <v>9</v>
      </c>
      <c r="H14" s="4" t="s">
        <v>90</v>
      </c>
      <c r="I14" s="4">
        <f>E4+E7+E8+E9+E13+E14+E15+E16+E17+E18+E19+E20+E21+E22+E23+E24</f>
        <v>149</v>
      </c>
    </row>
    <row r="15" spans="3:9" ht="15.75" thickBot="1" x14ac:dyDescent="0.3">
      <c r="C15" s="74">
        <v>8</v>
      </c>
      <c r="D15" s="77" t="s">
        <v>75</v>
      </c>
      <c r="E15" s="76">
        <v>5</v>
      </c>
      <c r="H15" s="90" t="s">
        <v>94</v>
      </c>
      <c r="I15" s="91">
        <f>I12+I13+I14</f>
        <v>349</v>
      </c>
    </row>
    <row r="16" spans="3:9" ht="18.75" thickBot="1" x14ac:dyDescent="0.3">
      <c r="C16" s="74">
        <v>9</v>
      </c>
      <c r="D16" s="77" t="s">
        <v>76</v>
      </c>
      <c r="E16" s="76">
        <v>5</v>
      </c>
      <c r="H16" s="87"/>
    </row>
    <row r="17" spans="3:5" ht="15.75" thickBot="1" x14ac:dyDescent="0.3">
      <c r="C17" s="74">
        <v>10</v>
      </c>
      <c r="D17" s="77" t="s">
        <v>77</v>
      </c>
      <c r="E17" s="76">
        <v>5</v>
      </c>
    </row>
    <row r="18" spans="3:5" ht="15.75" thickBot="1" x14ac:dyDescent="0.3">
      <c r="C18" s="74">
        <v>11</v>
      </c>
      <c r="D18" s="77" t="s">
        <v>78</v>
      </c>
      <c r="E18" s="76">
        <v>5</v>
      </c>
    </row>
    <row r="19" spans="3:5" ht="15.75" thickBot="1" x14ac:dyDescent="0.3">
      <c r="C19" s="74">
        <v>12</v>
      </c>
      <c r="D19" s="77" t="s">
        <v>59</v>
      </c>
      <c r="E19" s="76">
        <v>5</v>
      </c>
    </row>
    <row r="20" spans="3:5" ht="15.75" thickBot="1" x14ac:dyDescent="0.3">
      <c r="C20" s="74">
        <v>13</v>
      </c>
      <c r="D20" s="77" t="s">
        <v>79</v>
      </c>
      <c r="E20" s="76">
        <v>5</v>
      </c>
    </row>
    <row r="21" spans="3:5" ht="15.75" thickBot="1" x14ac:dyDescent="0.3">
      <c r="C21" s="74">
        <v>14</v>
      </c>
      <c r="D21" s="77" t="s">
        <v>80</v>
      </c>
      <c r="E21" s="76">
        <v>5</v>
      </c>
    </row>
    <row r="22" spans="3:5" ht="15.75" thickBot="1" x14ac:dyDescent="0.3">
      <c r="C22" s="74">
        <v>15</v>
      </c>
      <c r="D22" s="77" t="s">
        <v>81</v>
      </c>
      <c r="E22" s="76">
        <v>8</v>
      </c>
    </row>
    <row r="23" spans="3:5" ht="15.75" thickBot="1" x14ac:dyDescent="0.3">
      <c r="C23" s="74">
        <v>17</v>
      </c>
      <c r="D23" s="82" t="s">
        <v>82</v>
      </c>
      <c r="E23" s="76">
        <v>30</v>
      </c>
    </row>
    <row r="24" spans="3:5" ht="15.75" thickBot="1" x14ac:dyDescent="0.3">
      <c r="C24" s="83">
        <v>18</v>
      </c>
      <c r="D24" s="82" t="s">
        <v>83</v>
      </c>
      <c r="E24" s="84">
        <v>20</v>
      </c>
    </row>
    <row r="25" spans="3:5" ht="15.75" thickBot="1" x14ac:dyDescent="0.3">
      <c r="C25" s="80"/>
      <c r="D25" s="81"/>
      <c r="E25" s="85" t="s">
        <v>84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L16" sqref="L16"/>
    </sheetView>
  </sheetViews>
  <sheetFormatPr defaultColWidth="8.85546875" defaultRowHeight="15" x14ac:dyDescent="0.25"/>
  <cols>
    <col min="1" max="1" width="6" style="63" customWidth="1"/>
    <col min="2" max="2" width="36.7109375" style="47" bestFit="1" customWidth="1"/>
    <col min="3" max="3" width="11.7109375" style="47" customWidth="1"/>
    <col min="4" max="5" width="8.42578125" style="65" bestFit="1" customWidth="1"/>
    <col min="6" max="6" width="10.28515625" style="66" customWidth="1"/>
    <col min="7" max="7" width="10.85546875" style="47" customWidth="1"/>
    <col min="8" max="8" width="10" style="47" customWidth="1"/>
    <col min="9" max="9" width="13.42578125" style="47" customWidth="1"/>
    <col min="10" max="10" width="11.140625" style="47" bestFit="1" customWidth="1"/>
    <col min="11" max="11" width="13.85546875" style="47" customWidth="1"/>
    <col min="12" max="12" width="10.28515625" style="47" customWidth="1"/>
    <col min="13" max="13" width="9.85546875" style="47" customWidth="1"/>
    <col min="14" max="16384" width="8.85546875" style="47"/>
  </cols>
  <sheetData>
    <row r="1" spans="1:10" ht="12.75" customHeight="1" x14ac:dyDescent="0.25">
      <c r="A1" s="44"/>
      <c r="B1" s="45" t="s">
        <v>42</v>
      </c>
      <c r="C1" s="46" t="s">
        <v>43</v>
      </c>
      <c r="D1" s="132"/>
      <c r="E1" s="132"/>
      <c r="F1" s="47"/>
    </row>
    <row r="2" spans="1:10" ht="28.5" customHeight="1" x14ac:dyDescent="0.25">
      <c r="A2" s="48"/>
      <c r="B2" s="49"/>
      <c r="C2" s="50" t="s">
        <v>44</v>
      </c>
      <c r="D2" s="51" t="s">
        <v>45</v>
      </c>
      <c r="E2" s="51" t="s">
        <v>46</v>
      </c>
      <c r="F2" s="51" t="s">
        <v>47</v>
      </c>
      <c r="G2" s="51" t="s">
        <v>48</v>
      </c>
      <c r="H2" s="51" t="s">
        <v>49</v>
      </c>
      <c r="I2" s="51" t="s">
        <v>50</v>
      </c>
      <c r="J2" s="51" t="s">
        <v>51</v>
      </c>
    </row>
    <row r="3" spans="1:10" x14ac:dyDescent="0.25">
      <c r="A3" s="44">
        <v>1</v>
      </c>
      <c r="B3" s="52" t="s">
        <v>52</v>
      </c>
      <c r="C3" s="53">
        <v>20</v>
      </c>
      <c r="D3" s="54" t="s">
        <v>53</v>
      </c>
      <c r="E3" s="54" t="s">
        <v>53</v>
      </c>
      <c r="F3" s="54" t="s">
        <v>53</v>
      </c>
      <c r="G3" s="54" t="s">
        <v>53</v>
      </c>
      <c r="H3" s="44">
        <v>3</v>
      </c>
      <c r="I3" s="55">
        <f t="shared" ref="I3:I9" si="0">H3*C3</f>
        <v>60</v>
      </c>
      <c r="J3" s="56">
        <f>C3*1</f>
        <v>20</v>
      </c>
    </row>
    <row r="4" spans="1:10" x14ac:dyDescent="0.25">
      <c r="A4" s="44">
        <v>2</v>
      </c>
      <c r="B4" s="57" t="s">
        <v>54</v>
      </c>
      <c r="C4" s="53">
        <v>9</v>
      </c>
      <c r="D4" s="54" t="s">
        <v>53</v>
      </c>
      <c r="E4" s="58" t="s">
        <v>53</v>
      </c>
      <c r="F4" s="54" t="s">
        <v>53</v>
      </c>
      <c r="G4" s="59"/>
      <c r="H4" s="44">
        <v>3</v>
      </c>
      <c r="I4" s="55">
        <f t="shared" si="0"/>
        <v>27</v>
      </c>
      <c r="J4" s="56"/>
    </row>
    <row r="5" spans="1:10" x14ac:dyDescent="0.25">
      <c r="A5" s="44">
        <v>3</v>
      </c>
      <c r="B5" s="57" t="s">
        <v>55</v>
      </c>
      <c r="C5" s="53">
        <v>5</v>
      </c>
      <c r="D5" s="54" t="s">
        <v>53</v>
      </c>
      <c r="E5" s="54" t="s">
        <v>53</v>
      </c>
      <c r="F5" s="54" t="s">
        <v>53</v>
      </c>
      <c r="G5" s="59"/>
      <c r="H5" s="44">
        <v>3</v>
      </c>
      <c r="I5" s="55">
        <f t="shared" si="0"/>
        <v>15</v>
      </c>
      <c r="J5" s="56"/>
    </row>
    <row r="6" spans="1:10" x14ac:dyDescent="0.25">
      <c r="A6" s="44">
        <v>4</v>
      </c>
      <c r="B6" s="57" t="s">
        <v>57</v>
      </c>
      <c r="C6" s="53">
        <v>5</v>
      </c>
      <c r="D6" s="54"/>
      <c r="E6" s="58"/>
      <c r="F6" s="54" t="s">
        <v>53</v>
      </c>
      <c r="G6" s="59"/>
      <c r="H6" s="44">
        <v>1</v>
      </c>
      <c r="I6" s="55">
        <f t="shared" si="0"/>
        <v>5</v>
      </c>
      <c r="J6" s="56"/>
    </row>
    <row r="7" spans="1:10" x14ac:dyDescent="0.25">
      <c r="A7" s="44">
        <v>5</v>
      </c>
      <c r="B7" s="57" t="s">
        <v>58</v>
      </c>
      <c r="C7" s="53">
        <v>5</v>
      </c>
      <c r="D7" s="54"/>
      <c r="E7" s="58"/>
      <c r="F7" s="54" t="s">
        <v>53</v>
      </c>
      <c r="G7" s="59"/>
      <c r="H7" s="44">
        <v>1</v>
      </c>
      <c r="I7" s="55">
        <f t="shared" si="0"/>
        <v>5</v>
      </c>
      <c r="J7" s="56"/>
    </row>
    <row r="8" spans="1:10" x14ac:dyDescent="0.25">
      <c r="A8" s="44">
        <v>6</v>
      </c>
      <c r="B8" s="57" t="s">
        <v>59</v>
      </c>
      <c r="C8" s="53">
        <v>5</v>
      </c>
      <c r="D8" s="54"/>
      <c r="E8" s="58"/>
      <c r="F8" s="54" t="s">
        <v>53</v>
      </c>
      <c r="G8" s="59"/>
      <c r="H8" s="44">
        <v>1</v>
      </c>
      <c r="I8" s="55">
        <f t="shared" si="0"/>
        <v>5</v>
      </c>
      <c r="J8" s="56"/>
    </row>
    <row r="9" spans="1:10" x14ac:dyDescent="0.25">
      <c r="A9" s="44">
        <v>7</v>
      </c>
      <c r="B9" s="52" t="s">
        <v>60</v>
      </c>
      <c r="C9" s="53">
        <v>110</v>
      </c>
      <c r="D9" s="54" t="s">
        <v>53</v>
      </c>
      <c r="E9" s="58"/>
      <c r="F9" s="54"/>
      <c r="G9" s="54" t="s">
        <v>53</v>
      </c>
      <c r="H9" s="44">
        <v>1</v>
      </c>
      <c r="I9" s="55">
        <f t="shared" si="0"/>
        <v>110</v>
      </c>
      <c r="J9" s="56">
        <f>C9*1</f>
        <v>110</v>
      </c>
    </row>
    <row r="10" spans="1:10" ht="15.75" x14ac:dyDescent="0.25">
      <c r="A10" s="44"/>
      <c r="B10" s="60" t="s">
        <v>61</v>
      </c>
      <c r="C10" s="61"/>
      <c r="D10" s="62"/>
      <c r="E10" s="62"/>
      <c r="F10" s="62"/>
      <c r="G10" s="62"/>
      <c r="H10" s="44"/>
      <c r="I10" s="55">
        <f>I3+I4+I5+I6+I7+I8+I9</f>
        <v>227</v>
      </c>
      <c r="J10" s="56">
        <f>J3+J9</f>
        <v>130</v>
      </c>
    </row>
    <row r="13" spans="1:10" ht="12.75" customHeight="1" x14ac:dyDescent="0.25">
      <c r="A13" s="44"/>
      <c r="B13" s="45" t="s">
        <v>42</v>
      </c>
      <c r="C13" s="46" t="s">
        <v>62</v>
      </c>
      <c r="D13" s="132"/>
      <c r="E13" s="132"/>
      <c r="F13" s="47"/>
    </row>
    <row r="14" spans="1:10" ht="28.5" customHeight="1" x14ac:dyDescent="0.25">
      <c r="A14" s="48"/>
      <c r="B14" s="49"/>
      <c r="C14" s="50" t="s">
        <v>44</v>
      </c>
      <c r="D14" s="51" t="s">
        <v>45</v>
      </c>
      <c r="E14" s="51" t="s">
        <v>46</v>
      </c>
      <c r="F14" s="51" t="s">
        <v>47</v>
      </c>
      <c r="G14" s="51" t="s">
        <v>48</v>
      </c>
      <c r="H14" s="51" t="s">
        <v>49</v>
      </c>
      <c r="I14" s="51" t="s">
        <v>50</v>
      </c>
      <c r="J14" s="51" t="s">
        <v>51</v>
      </c>
    </row>
    <row r="15" spans="1:10" x14ac:dyDescent="0.25">
      <c r="A15" s="44">
        <v>1</v>
      </c>
      <c r="B15" s="52" t="s">
        <v>52</v>
      </c>
      <c r="C15" s="53">
        <v>20</v>
      </c>
      <c r="D15" s="54" t="s">
        <v>53</v>
      </c>
      <c r="E15" s="54" t="s">
        <v>53</v>
      </c>
      <c r="F15" s="54" t="s">
        <v>53</v>
      </c>
      <c r="G15" s="54" t="s">
        <v>53</v>
      </c>
      <c r="H15" s="44">
        <v>3</v>
      </c>
      <c r="I15" s="55">
        <f>H15*C15</f>
        <v>60</v>
      </c>
      <c r="J15" s="56">
        <v>20</v>
      </c>
    </row>
    <row r="16" spans="1:10" x14ac:dyDescent="0.25">
      <c r="A16" s="44">
        <v>2</v>
      </c>
      <c r="B16" s="57" t="s">
        <v>54</v>
      </c>
      <c r="C16" s="53">
        <v>9</v>
      </c>
      <c r="D16" s="54" t="s">
        <v>53</v>
      </c>
      <c r="E16" s="58"/>
      <c r="F16" s="54" t="s">
        <v>53</v>
      </c>
      <c r="G16" s="59"/>
      <c r="H16" s="44">
        <v>2</v>
      </c>
      <c r="I16" s="55">
        <f>H16*C16</f>
        <v>18</v>
      </c>
      <c r="J16" s="56"/>
    </row>
    <row r="17" spans="1:12" x14ac:dyDescent="0.25">
      <c r="A17" s="44">
        <v>3</v>
      </c>
      <c r="B17" s="57" t="s">
        <v>55</v>
      </c>
      <c r="C17" s="53">
        <v>5</v>
      </c>
      <c r="D17" s="54" t="s">
        <v>53</v>
      </c>
      <c r="E17" s="54" t="s">
        <v>53</v>
      </c>
      <c r="F17" s="54" t="s">
        <v>53</v>
      </c>
      <c r="G17" s="59"/>
      <c r="H17" s="44">
        <v>3</v>
      </c>
      <c r="I17" s="55">
        <f>H17*C17</f>
        <v>15</v>
      </c>
      <c r="J17" s="56"/>
    </row>
    <row r="18" spans="1:12" x14ac:dyDescent="0.25">
      <c r="A18" s="44">
        <v>4</v>
      </c>
      <c r="B18" s="57" t="s">
        <v>57</v>
      </c>
      <c r="C18" s="53">
        <v>5</v>
      </c>
      <c r="D18" s="54"/>
      <c r="E18" s="58"/>
      <c r="F18" s="54" t="s">
        <v>53</v>
      </c>
      <c r="G18" s="59"/>
      <c r="H18" s="44">
        <v>1</v>
      </c>
      <c r="I18" s="55">
        <f>H18*C18</f>
        <v>5</v>
      </c>
      <c r="J18" s="56"/>
    </row>
    <row r="19" spans="1:12" x14ac:dyDescent="0.25">
      <c r="A19" s="44">
        <v>5</v>
      </c>
      <c r="B19" s="57" t="s">
        <v>58</v>
      </c>
      <c r="C19" s="53">
        <v>5</v>
      </c>
      <c r="D19" s="54"/>
      <c r="E19" s="58"/>
      <c r="F19" s="54" t="s">
        <v>53</v>
      </c>
      <c r="G19" s="59"/>
      <c r="H19" s="44">
        <v>1</v>
      </c>
      <c r="I19" s="55">
        <f>H19*C19</f>
        <v>5</v>
      </c>
      <c r="J19" s="56"/>
    </row>
    <row r="20" spans="1:12" x14ac:dyDescent="0.25">
      <c r="A20" s="44">
        <v>6</v>
      </c>
      <c r="B20" s="57" t="s">
        <v>59</v>
      </c>
      <c r="C20" s="53">
        <v>25</v>
      </c>
      <c r="D20" s="54"/>
      <c r="E20" s="58"/>
      <c r="F20" s="54" t="s">
        <v>53</v>
      </c>
      <c r="G20" s="59"/>
      <c r="H20" s="44">
        <v>1</v>
      </c>
      <c r="I20" s="55">
        <v>5</v>
      </c>
      <c r="J20" s="56"/>
    </row>
    <row r="21" spans="1:12" x14ac:dyDescent="0.25">
      <c r="A21" s="44">
        <v>7</v>
      </c>
      <c r="B21" s="52" t="s">
        <v>60</v>
      </c>
      <c r="C21" s="53">
        <v>110</v>
      </c>
      <c r="D21" s="54" t="s">
        <v>53</v>
      </c>
      <c r="E21" s="58"/>
      <c r="F21" s="54"/>
      <c r="G21" s="54" t="s">
        <v>53</v>
      </c>
      <c r="H21" s="44">
        <v>1</v>
      </c>
      <c r="I21" s="55">
        <f>H21*C21</f>
        <v>110</v>
      </c>
      <c r="J21" s="56">
        <v>110</v>
      </c>
    </row>
    <row r="22" spans="1:12" ht="15.75" x14ac:dyDescent="0.25">
      <c r="A22" s="44"/>
      <c r="B22" s="60" t="s">
        <v>61</v>
      </c>
      <c r="C22" s="61"/>
      <c r="D22" s="62"/>
      <c r="E22" s="62"/>
      <c r="F22" s="62"/>
      <c r="G22" s="62"/>
      <c r="H22" s="44"/>
      <c r="I22" s="55">
        <f>I15+I16+I17+I18+I19+I20+I21</f>
        <v>218</v>
      </c>
      <c r="J22" s="56">
        <f>J15+J21</f>
        <v>130</v>
      </c>
    </row>
    <row r="27" spans="1:12" x14ac:dyDescent="0.25">
      <c r="B27" s="45" t="s">
        <v>63</v>
      </c>
      <c r="C27" s="64" t="s">
        <v>64</v>
      </c>
    </row>
    <row r="28" spans="1:12" ht="28.5" customHeight="1" x14ac:dyDescent="0.25">
      <c r="A28" s="48"/>
      <c r="B28" s="49"/>
      <c r="C28" s="50" t="s">
        <v>65</v>
      </c>
      <c r="D28" s="51" t="s">
        <v>45</v>
      </c>
      <c r="E28" s="51" t="s">
        <v>46</v>
      </c>
      <c r="F28" s="51" t="s">
        <v>47</v>
      </c>
      <c r="G28" s="51" t="s">
        <v>66</v>
      </c>
      <c r="H28" s="51" t="s">
        <v>67</v>
      </c>
      <c r="I28" s="51" t="s">
        <v>68</v>
      </c>
      <c r="J28" s="51" t="s">
        <v>49</v>
      </c>
      <c r="K28" s="51" t="s">
        <v>50</v>
      </c>
      <c r="L28" s="51" t="s">
        <v>51</v>
      </c>
    </row>
    <row r="29" spans="1:12" x14ac:dyDescent="0.25">
      <c r="A29" s="44">
        <v>1</v>
      </c>
      <c r="B29" s="52" t="s">
        <v>52</v>
      </c>
      <c r="C29" s="53">
        <v>20</v>
      </c>
      <c r="D29" s="54" t="s">
        <v>53</v>
      </c>
      <c r="E29" s="54" t="s">
        <v>53</v>
      </c>
      <c r="F29" s="54" t="s">
        <v>53</v>
      </c>
      <c r="G29" s="54"/>
      <c r="H29" s="54"/>
      <c r="I29" s="54" t="s">
        <v>53</v>
      </c>
      <c r="J29" s="56">
        <v>4</v>
      </c>
      <c r="K29" s="55">
        <f t="shared" ref="K29:K35" si="1">J29*C29</f>
        <v>80</v>
      </c>
      <c r="L29" s="56">
        <f>C29*1</f>
        <v>20</v>
      </c>
    </row>
    <row r="30" spans="1:12" x14ac:dyDescent="0.25">
      <c r="A30" s="44">
        <v>2</v>
      </c>
      <c r="B30" s="57" t="s">
        <v>54</v>
      </c>
      <c r="C30" s="53">
        <v>9</v>
      </c>
      <c r="D30" s="54" t="s">
        <v>53</v>
      </c>
      <c r="E30" s="54" t="s">
        <v>53</v>
      </c>
      <c r="F30" s="54" t="s">
        <v>53</v>
      </c>
      <c r="G30" s="54"/>
      <c r="H30" s="54"/>
      <c r="I30" s="54" t="s">
        <v>53</v>
      </c>
      <c r="J30" s="56">
        <v>4</v>
      </c>
      <c r="K30" s="55">
        <f t="shared" si="1"/>
        <v>36</v>
      </c>
      <c r="L30" s="56"/>
    </row>
    <row r="31" spans="1:12" x14ac:dyDescent="0.25">
      <c r="A31" s="44">
        <v>3</v>
      </c>
      <c r="B31" s="57" t="s">
        <v>55</v>
      </c>
      <c r="C31" s="53">
        <v>5</v>
      </c>
      <c r="D31" s="54" t="s">
        <v>53</v>
      </c>
      <c r="E31" s="54" t="s">
        <v>53</v>
      </c>
      <c r="F31" s="54" t="s">
        <v>53</v>
      </c>
      <c r="G31" s="54"/>
      <c r="H31" s="54"/>
      <c r="I31" s="54" t="s">
        <v>53</v>
      </c>
      <c r="J31" s="56">
        <v>4</v>
      </c>
      <c r="K31" s="55">
        <f t="shared" si="1"/>
        <v>20</v>
      </c>
      <c r="L31" s="56"/>
    </row>
    <row r="32" spans="1:12" x14ac:dyDescent="0.25">
      <c r="A32" s="44">
        <v>4</v>
      </c>
      <c r="B32" s="57" t="s">
        <v>57</v>
      </c>
      <c r="C32" s="53">
        <v>5</v>
      </c>
      <c r="D32" s="54"/>
      <c r="E32" s="58"/>
      <c r="F32" s="54" t="s">
        <v>53</v>
      </c>
      <c r="G32" s="54"/>
      <c r="H32" s="54"/>
      <c r="I32" s="54" t="s">
        <v>53</v>
      </c>
      <c r="J32" s="56">
        <v>2</v>
      </c>
      <c r="K32" s="55">
        <f t="shared" si="1"/>
        <v>10</v>
      </c>
      <c r="L32" s="56"/>
    </row>
    <row r="33" spans="1:12" x14ac:dyDescent="0.25">
      <c r="A33" s="44">
        <v>5</v>
      </c>
      <c r="B33" s="57" t="s">
        <v>58</v>
      </c>
      <c r="C33" s="53">
        <v>5</v>
      </c>
      <c r="D33" s="54"/>
      <c r="E33" s="58"/>
      <c r="F33" s="54" t="s">
        <v>53</v>
      </c>
      <c r="G33" s="54"/>
      <c r="H33" s="54"/>
      <c r="I33" s="54" t="s">
        <v>53</v>
      </c>
      <c r="J33" s="56">
        <v>2</v>
      </c>
      <c r="K33" s="55">
        <f t="shared" si="1"/>
        <v>10</v>
      </c>
      <c r="L33" s="56"/>
    </row>
    <row r="34" spans="1:12" x14ac:dyDescent="0.25">
      <c r="A34" s="44">
        <v>6</v>
      </c>
      <c r="B34" s="57" t="s">
        <v>59</v>
      </c>
      <c r="C34" s="53">
        <v>5</v>
      </c>
      <c r="D34" s="54"/>
      <c r="E34" s="58"/>
      <c r="F34" s="54" t="s">
        <v>53</v>
      </c>
      <c r="G34" s="54" t="s">
        <v>53</v>
      </c>
      <c r="H34" s="54" t="s">
        <v>53</v>
      </c>
      <c r="I34" s="54" t="s">
        <v>53</v>
      </c>
      <c r="J34" s="56">
        <v>4</v>
      </c>
      <c r="K34" s="55">
        <f t="shared" si="1"/>
        <v>20</v>
      </c>
      <c r="L34" s="56"/>
    </row>
    <row r="35" spans="1:12" x14ac:dyDescent="0.25">
      <c r="A35" s="44">
        <v>7</v>
      </c>
      <c r="B35" s="52" t="s">
        <v>60</v>
      </c>
      <c r="C35" s="53">
        <v>110</v>
      </c>
      <c r="D35" s="54" t="s">
        <v>53</v>
      </c>
      <c r="E35" s="58"/>
      <c r="F35" s="54"/>
      <c r="G35" s="54"/>
      <c r="H35" s="54"/>
      <c r="I35" s="54"/>
      <c r="J35" s="56">
        <v>1</v>
      </c>
      <c r="K35" s="55">
        <f t="shared" si="1"/>
        <v>110</v>
      </c>
      <c r="L35" s="56">
        <f>C35*1</f>
        <v>110</v>
      </c>
    </row>
    <row r="36" spans="1:12" ht="15.75" x14ac:dyDescent="0.25">
      <c r="A36" s="44"/>
      <c r="B36" s="60" t="s">
        <v>61</v>
      </c>
      <c r="C36" s="67"/>
      <c r="D36" s="62"/>
      <c r="E36" s="62"/>
      <c r="F36" s="62"/>
      <c r="G36" s="62"/>
      <c r="H36" s="62"/>
      <c r="I36" s="54"/>
      <c r="J36" s="56"/>
      <c r="K36" s="55">
        <f>K29+K30+K31+K32+K33+K34+K35</f>
        <v>286</v>
      </c>
      <c r="L36" s="56">
        <f>L29+L35</f>
        <v>130</v>
      </c>
    </row>
    <row r="40" spans="1:12" x14ac:dyDescent="0.25">
      <c r="B40" s="45" t="s">
        <v>63</v>
      </c>
      <c r="C40" s="64" t="s">
        <v>62</v>
      </c>
    </row>
    <row r="41" spans="1:12" ht="28.5" customHeight="1" x14ac:dyDescent="0.25">
      <c r="A41" s="48"/>
      <c r="B41" s="49"/>
      <c r="C41" s="50" t="s">
        <v>65</v>
      </c>
      <c r="D41" s="51" t="s">
        <v>45</v>
      </c>
      <c r="E41" s="51" t="s">
        <v>46</v>
      </c>
      <c r="F41" s="51" t="s">
        <v>47</v>
      </c>
      <c r="G41" s="51" t="s">
        <v>66</v>
      </c>
      <c r="H41" s="51" t="s">
        <v>67</v>
      </c>
      <c r="I41" s="51" t="s">
        <v>68</v>
      </c>
      <c r="J41" s="51" t="s">
        <v>49</v>
      </c>
      <c r="K41" s="51" t="s">
        <v>50</v>
      </c>
      <c r="L41" s="51" t="s">
        <v>51</v>
      </c>
    </row>
    <row r="42" spans="1:12" x14ac:dyDescent="0.25">
      <c r="A42" s="44">
        <v>1</v>
      </c>
      <c r="B42" s="52" t="s">
        <v>52</v>
      </c>
      <c r="C42" s="53">
        <v>20</v>
      </c>
      <c r="D42" s="54" t="s">
        <v>53</v>
      </c>
      <c r="E42" s="54" t="s">
        <v>53</v>
      </c>
      <c r="F42" s="54" t="s">
        <v>53</v>
      </c>
      <c r="G42" s="54"/>
      <c r="H42" s="54"/>
      <c r="I42" s="54" t="s">
        <v>53</v>
      </c>
      <c r="J42" s="56">
        <v>4</v>
      </c>
      <c r="K42" s="55">
        <f t="shared" ref="K42:K48" si="2">J42*C42</f>
        <v>80</v>
      </c>
      <c r="L42" s="56">
        <f>C42*1</f>
        <v>20</v>
      </c>
    </row>
    <row r="43" spans="1:12" x14ac:dyDescent="0.25">
      <c r="A43" s="44">
        <v>2</v>
      </c>
      <c r="B43" s="57" t="s">
        <v>54</v>
      </c>
      <c r="C43" s="53">
        <v>9</v>
      </c>
      <c r="D43" s="54" t="s">
        <v>53</v>
      </c>
      <c r="E43" s="58"/>
      <c r="F43" s="54" t="s">
        <v>53</v>
      </c>
      <c r="G43" s="54"/>
      <c r="H43" s="54"/>
      <c r="I43" s="54" t="s">
        <v>53</v>
      </c>
      <c r="J43" s="56">
        <v>3</v>
      </c>
      <c r="K43" s="55">
        <f t="shared" si="2"/>
        <v>27</v>
      </c>
      <c r="L43" s="56"/>
    </row>
    <row r="44" spans="1:12" x14ac:dyDescent="0.25">
      <c r="A44" s="44">
        <v>3</v>
      </c>
      <c r="B44" s="57" t="s">
        <v>55</v>
      </c>
      <c r="C44" s="53">
        <v>5</v>
      </c>
      <c r="D44" s="54" t="s">
        <v>53</v>
      </c>
      <c r="E44" s="54" t="s">
        <v>53</v>
      </c>
      <c r="F44" s="54" t="s">
        <v>53</v>
      </c>
      <c r="G44" s="54" t="s">
        <v>53</v>
      </c>
      <c r="H44" s="54" t="s">
        <v>53</v>
      </c>
      <c r="I44" s="54" t="s">
        <v>53</v>
      </c>
      <c r="J44" s="56">
        <v>6</v>
      </c>
      <c r="K44" s="55">
        <f t="shared" si="2"/>
        <v>30</v>
      </c>
      <c r="L44" s="56"/>
    </row>
    <row r="45" spans="1:12" x14ac:dyDescent="0.25">
      <c r="A45" s="44">
        <v>4</v>
      </c>
      <c r="B45" s="57" t="s">
        <v>57</v>
      </c>
      <c r="C45" s="53">
        <v>5</v>
      </c>
      <c r="D45" s="54"/>
      <c r="E45" s="58"/>
      <c r="F45" s="54" t="s">
        <v>53</v>
      </c>
      <c r="G45" s="54"/>
      <c r="H45" s="54"/>
      <c r="I45" s="54" t="s">
        <v>53</v>
      </c>
      <c r="J45" s="56">
        <v>2</v>
      </c>
      <c r="K45" s="55">
        <f t="shared" si="2"/>
        <v>10</v>
      </c>
      <c r="L45" s="56"/>
    </row>
    <row r="46" spans="1:12" x14ac:dyDescent="0.25">
      <c r="A46" s="44">
        <v>5</v>
      </c>
      <c r="B46" s="57" t="s">
        <v>58</v>
      </c>
      <c r="C46" s="53">
        <v>5</v>
      </c>
      <c r="D46" s="54"/>
      <c r="E46" s="58"/>
      <c r="F46" s="54" t="s">
        <v>53</v>
      </c>
      <c r="G46" s="54"/>
      <c r="H46" s="54"/>
      <c r="I46" s="54" t="s">
        <v>53</v>
      </c>
      <c r="J46" s="56">
        <v>2</v>
      </c>
      <c r="K46" s="55">
        <f t="shared" si="2"/>
        <v>10</v>
      </c>
      <c r="L46" s="56"/>
    </row>
    <row r="47" spans="1:12" x14ac:dyDescent="0.25">
      <c r="A47" s="44">
        <v>6</v>
      </c>
      <c r="B47" s="57" t="s">
        <v>59</v>
      </c>
      <c r="C47" s="53">
        <v>5</v>
      </c>
      <c r="D47" s="54"/>
      <c r="E47" s="58"/>
      <c r="F47" s="54" t="s">
        <v>53</v>
      </c>
      <c r="G47" s="54"/>
      <c r="H47" s="54"/>
      <c r="I47" s="54" t="s">
        <v>53</v>
      </c>
      <c r="J47" s="56">
        <v>2</v>
      </c>
      <c r="K47" s="55">
        <f t="shared" si="2"/>
        <v>10</v>
      </c>
      <c r="L47" s="56"/>
    </row>
    <row r="48" spans="1:12" x14ac:dyDescent="0.25">
      <c r="A48" s="44">
        <v>7</v>
      </c>
      <c r="B48" s="52" t="s">
        <v>60</v>
      </c>
      <c r="C48" s="53">
        <v>110</v>
      </c>
      <c r="D48" s="54" t="s">
        <v>53</v>
      </c>
      <c r="E48" s="58"/>
      <c r="F48" s="54"/>
      <c r="G48" s="54"/>
      <c r="H48" s="54"/>
      <c r="I48" s="54"/>
      <c r="J48" s="56">
        <v>1</v>
      </c>
      <c r="K48" s="55">
        <f t="shared" si="2"/>
        <v>110</v>
      </c>
      <c r="L48" s="56">
        <f>C48*1</f>
        <v>110</v>
      </c>
    </row>
    <row r="49" spans="1:12" ht="15.75" x14ac:dyDescent="0.25">
      <c r="A49" s="68"/>
      <c r="B49" s="60" t="s">
        <v>61</v>
      </c>
      <c r="C49" s="67"/>
      <c r="D49" s="62"/>
      <c r="E49" s="62"/>
      <c r="F49" s="62"/>
      <c r="G49" s="62"/>
      <c r="H49" s="62"/>
      <c r="I49" s="54"/>
      <c r="J49" s="56"/>
      <c r="K49" s="55">
        <f>K42+K43+K44+K45+K46+K47+K48</f>
        <v>277</v>
      </c>
      <c r="L49" s="56">
        <f>L42+L48</f>
        <v>130</v>
      </c>
    </row>
  </sheetData>
  <mergeCells count="2">
    <mergeCell ref="D1:E1"/>
    <mergeCell ref="D13:E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23"/>
  <sheetViews>
    <sheetView workbookViewId="0">
      <selection activeCell="L19" sqref="L19"/>
    </sheetView>
  </sheetViews>
  <sheetFormatPr defaultRowHeight="15" x14ac:dyDescent="0.25"/>
  <cols>
    <col min="3" max="3" width="3.28515625" bestFit="1" customWidth="1"/>
    <col min="4" max="4" width="34.7109375" bestFit="1" customWidth="1"/>
    <col min="8" max="8" width="33.42578125" customWidth="1"/>
  </cols>
  <sheetData>
    <row r="3" spans="3:11" ht="30" x14ac:dyDescent="0.25">
      <c r="C3" s="86" t="s">
        <v>87</v>
      </c>
      <c r="D3" s="86" t="s">
        <v>85</v>
      </c>
      <c r="E3" s="86" t="s">
        <v>86</v>
      </c>
      <c r="H3" s="88" t="s">
        <v>91</v>
      </c>
      <c r="I3" s="88" t="s">
        <v>92</v>
      </c>
    </row>
    <row r="4" spans="3:11" x14ac:dyDescent="0.25">
      <c r="C4" s="71">
        <v>1</v>
      </c>
      <c r="D4" s="72" t="s">
        <v>52</v>
      </c>
      <c r="E4" s="73">
        <v>20</v>
      </c>
      <c r="H4" s="4" t="s">
        <v>7</v>
      </c>
      <c r="I4" s="4">
        <f>E5</f>
        <v>60</v>
      </c>
    </row>
    <row r="5" spans="3:11" ht="15.75" thickBot="1" x14ac:dyDescent="0.3">
      <c r="C5" s="74">
        <v>2</v>
      </c>
      <c r="D5" s="75" t="s">
        <v>88</v>
      </c>
      <c r="E5" s="76">
        <v>60</v>
      </c>
      <c r="H5" s="4" t="s">
        <v>89</v>
      </c>
      <c r="I5" s="4">
        <f>E12</f>
        <v>140</v>
      </c>
    </row>
    <row r="6" spans="3:11" ht="15.75" thickBot="1" x14ac:dyDescent="0.3">
      <c r="C6" s="74">
        <v>3</v>
      </c>
      <c r="D6" s="77" t="s">
        <v>70</v>
      </c>
      <c r="E6" s="78"/>
      <c r="H6" s="4" t="s">
        <v>90</v>
      </c>
      <c r="I6" s="4">
        <f>E4+E7+E8+E9+E10+E13+E14+E15+E16+E17+E18+E19+E20</f>
        <v>181</v>
      </c>
    </row>
    <row r="7" spans="3:11" ht="15.75" thickBot="1" x14ac:dyDescent="0.3">
      <c r="C7" s="74"/>
      <c r="D7" s="79" t="s">
        <v>55</v>
      </c>
      <c r="E7" s="76">
        <v>5</v>
      </c>
      <c r="H7" s="90" t="s">
        <v>94</v>
      </c>
      <c r="I7" s="91">
        <f>I4+I5+I6</f>
        <v>381</v>
      </c>
      <c r="K7">
        <f>I6*70%</f>
        <v>126.69999999999999</v>
      </c>
    </row>
    <row r="8" spans="3:11" ht="15.75" thickBot="1" x14ac:dyDescent="0.3">
      <c r="C8" s="74"/>
      <c r="D8" s="79" t="s">
        <v>56</v>
      </c>
      <c r="E8" s="76">
        <v>5</v>
      </c>
    </row>
    <row r="9" spans="3:11" ht="15.75" thickBot="1" x14ac:dyDescent="0.3">
      <c r="C9" s="74"/>
      <c r="D9" s="79" t="s">
        <v>54</v>
      </c>
      <c r="E9" s="76">
        <v>9</v>
      </c>
    </row>
    <row r="10" spans="3:11" ht="15.75" thickBot="1" x14ac:dyDescent="0.3">
      <c r="C10" s="74">
        <v>4</v>
      </c>
      <c r="D10" s="75" t="s">
        <v>71</v>
      </c>
      <c r="E10" s="76">
        <v>80</v>
      </c>
    </row>
    <row r="11" spans="3:11" ht="15.75" thickBot="1" x14ac:dyDescent="0.3">
      <c r="C11" s="80"/>
      <c r="D11" s="81"/>
      <c r="E11" s="81"/>
      <c r="H11" s="88" t="s">
        <v>93</v>
      </c>
      <c r="I11" s="88" t="s">
        <v>92</v>
      </c>
    </row>
    <row r="12" spans="3:11" ht="15.75" thickBot="1" x14ac:dyDescent="0.3">
      <c r="C12" s="74">
        <v>5</v>
      </c>
      <c r="D12" s="77" t="s">
        <v>72</v>
      </c>
      <c r="E12" s="76">
        <v>140</v>
      </c>
      <c r="H12" s="4" t="s">
        <v>7</v>
      </c>
      <c r="I12" s="4">
        <f>E5</f>
        <v>60</v>
      </c>
    </row>
    <row r="13" spans="3:11" ht="15.75" thickBot="1" x14ac:dyDescent="0.3">
      <c r="C13" s="74">
        <v>6</v>
      </c>
      <c r="D13" s="77" t="s">
        <v>73</v>
      </c>
      <c r="E13" s="76">
        <v>8</v>
      </c>
      <c r="H13" s="4" t="s">
        <v>89</v>
      </c>
      <c r="I13" s="4">
        <f>E12</f>
        <v>140</v>
      </c>
    </row>
    <row r="14" spans="3:11" ht="15.75" thickBot="1" x14ac:dyDescent="0.3">
      <c r="C14" s="74">
        <v>7</v>
      </c>
      <c r="D14" s="77" t="s">
        <v>96</v>
      </c>
      <c r="E14" s="76">
        <v>9</v>
      </c>
      <c r="H14" s="4" t="s">
        <v>90</v>
      </c>
      <c r="I14" s="4">
        <f>E4+E7+E8+E9+E13+E14+E15+E16+E17+E18+E19+E20</f>
        <v>101</v>
      </c>
    </row>
    <row r="15" spans="3:11" ht="15.75" thickBot="1" x14ac:dyDescent="0.3">
      <c r="C15" s="74">
        <v>8</v>
      </c>
      <c r="D15" s="77" t="s">
        <v>77</v>
      </c>
      <c r="E15" s="76">
        <v>5</v>
      </c>
      <c r="H15" s="90" t="s">
        <v>94</v>
      </c>
      <c r="I15" s="91">
        <f>I12+I13+I14</f>
        <v>301</v>
      </c>
      <c r="K15">
        <f>I14*70%</f>
        <v>70.699999999999989</v>
      </c>
    </row>
    <row r="16" spans="3:11" ht="15.75" thickBot="1" x14ac:dyDescent="0.3">
      <c r="C16" s="74">
        <v>9</v>
      </c>
      <c r="D16" s="77" t="s">
        <v>78</v>
      </c>
      <c r="E16" s="76">
        <v>5</v>
      </c>
    </row>
    <row r="17" spans="3:8" ht="15.75" thickBot="1" x14ac:dyDescent="0.3">
      <c r="C17" s="74">
        <v>10</v>
      </c>
      <c r="D17" s="77" t="s">
        <v>59</v>
      </c>
      <c r="E17" s="76">
        <v>5</v>
      </c>
    </row>
    <row r="18" spans="3:8" ht="15.75" thickBot="1" x14ac:dyDescent="0.3">
      <c r="C18" s="74">
        <v>11</v>
      </c>
      <c r="D18" s="77" t="s">
        <v>79</v>
      </c>
      <c r="E18" s="76">
        <v>5</v>
      </c>
    </row>
    <row r="19" spans="3:8" ht="15.75" thickBot="1" x14ac:dyDescent="0.3">
      <c r="C19" s="74">
        <v>12</v>
      </c>
      <c r="D19" s="77" t="s">
        <v>80</v>
      </c>
      <c r="E19" s="76">
        <v>5</v>
      </c>
    </row>
    <row r="20" spans="3:8" ht="15.75" thickBot="1" x14ac:dyDescent="0.3">
      <c r="C20" s="83">
        <v>13</v>
      </c>
      <c r="D20" s="82" t="s">
        <v>83</v>
      </c>
      <c r="E20" s="84">
        <v>20</v>
      </c>
    </row>
    <row r="21" spans="3:8" ht="15.75" thickBot="1" x14ac:dyDescent="0.3">
      <c r="C21" s="80"/>
      <c r="D21" s="81"/>
      <c r="E21" s="85" t="s">
        <v>84</v>
      </c>
    </row>
    <row r="23" spans="3:8" ht="18" x14ac:dyDescent="0.35">
      <c r="H23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2019-4week rna გარეშე</vt:lpstr>
      <vt:lpstr>ბიუჯეტი-2019</vt:lpstr>
      <vt:lpstr>4კვირის რნა გარეშე(0 თანაგადახ)</vt:lpstr>
      <vt:lpstr>4კვირის რნა გარეშე (თანაგადახდ)</vt:lpstr>
      <vt:lpstr>დიაგნოსტიკა თანაგადახდის გარეშე</vt:lpstr>
      <vt:lpstr>დიაგნოსტიკა თანაგადახდით</vt:lpstr>
      <vt:lpstr>მკურნალობაში ჩართვა-სტანდარტული</vt:lpstr>
      <vt:lpstr>მონიტორინგი-სტანდარტული</vt:lpstr>
      <vt:lpstr>მკურნალობაში ჩართვა-პჯდ</vt:lpstr>
      <vt:lpstr>მონიტორინგი-პჯდ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2019-05-07T11:22:14Z</dcterms:modified>
</cp:coreProperties>
</file>